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fabiani\Documents\Website\"/>
    </mc:Choice>
  </mc:AlternateContent>
  <bookViews>
    <workbookView xWindow="-120" yWindow="-120" windowWidth="29040" windowHeight="15840" firstSheet="9" activeTab="1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2 Auth. &amp; Fire Dist." sheetId="13" r:id="rId14"/>
    <sheet name="muni" sheetId="14" state="hidden" r:id="rId15"/>
    <sheet name="Notes" sheetId="16" r:id="rId16"/>
  </sheets>
  <externalReferences>
    <externalReference r:id="rId17"/>
  </externalReferences>
  <definedNames>
    <definedName name="AbateType">'[1]Data Lists'!$A$4:$A$6</definedName>
    <definedName name="ActEst">'[1]Data Lists'!$A$8:$A$9</definedName>
    <definedName name="_xlnm.Print_Area" localSheetId="0">'Cover Page'!$A$1:$Q$35</definedName>
    <definedName name="_xlnm.Print_Area" localSheetId="15">Notes!$J$1:$L$5</definedName>
    <definedName name="_xlnm.Print_Area" localSheetId="2">'UFB-1 Tax Impact'!$J$1:$T$39</definedName>
    <definedName name="_xlnm.Print_Area" localSheetId="11">'UFB-10 Debt'!$J$1:$S$33</definedName>
    <definedName name="_xlnm.Print_Area" localSheetId="12">'UFB-11 Shared Services'!$J$1:$P$40</definedName>
    <definedName name="_xlnm.Print_Area" localSheetId="13">'UFB-12 Auth. &amp; Fire Dist.'!$K$1:$V$23</definedName>
    <definedName name="_xlnm.Print_Area" localSheetId="3">'UFB-2 Revenue Summary'!$J$1:$Y$23</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7" i="10" l="1"/>
  <c r="S6" i="10"/>
  <c r="S11" i="10"/>
  <c r="S10" i="10"/>
  <c r="L22" i="8"/>
  <c r="L21" i="8"/>
  <c r="L13" i="8"/>
  <c r="L8" i="8"/>
  <c r="L6" i="8"/>
  <c r="L5" i="8"/>
  <c r="M17" i="8"/>
  <c r="M25" i="8"/>
  <c r="O9" i="7"/>
  <c r="Q9" i="7" s="1"/>
  <c r="O12" i="7"/>
  <c r="Q12" i="7" s="1"/>
  <c r="O13" i="7"/>
  <c r="Q13" i="7"/>
  <c r="Q11" i="7"/>
  <c r="S13" i="7"/>
  <c r="S11" i="7"/>
  <c r="S9" i="7"/>
  <c r="S8" i="7"/>
  <c r="S10" i="7"/>
  <c r="R10" i="7"/>
  <c r="Q10" i="7"/>
  <c r="P24" i="3"/>
  <c r="P23" i="3"/>
  <c r="P5" i="3"/>
  <c r="S12" i="7" l="1"/>
  <c r="R6" i="2"/>
  <c r="R7" i="2"/>
  <c r="O7" i="2"/>
  <c r="O6" i="2"/>
  <c r="K6" i="12" l="1"/>
  <c r="I9" i="12" l="1"/>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1" i="2"/>
  <c r="Q20"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2" i="2"/>
  <c r="X22" i="2"/>
  <c r="W22" i="2"/>
  <c r="V22" i="2"/>
  <c r="J11" i="10" l="1"/>
  <c r="J10" i="10"/>
  <c r="D14" i="10"/>
  <c r="D13" i="10"/>
  <c r="M13" i="10"/>
  <c r="H13" i="10"/>
  <c r="B13" i="10"/>
  <c r="A13" i="10"/>
  <c r="M14" i="10"/>
  <c r="H14" i="10"/>
  <c r="B14" i="10"/>
  <c r="A14" i="10"/>
  <c r="L41" i="9" l="1"/>
  <c r="L40" i="9"/>
  <c r="U22" i="2" l="1"/>
  <c r="T22" i="2"/>
  <c r="S22" i="2"/>
  <c r="R22" i="2"/>
  <c r="O22" i="2"/>
  <c r="W28" i="3" l="1"/>
  <c r="V28" i="3"/>
  <c r="U28" i="3"/>
  <c r="T28" i="3"/>
  <c r="S28" i="3"/>
  <c r="P28" i="3"/>
  <c r="L28" i="3"/>
  <c r="M28" i="3"/>
  <c r="I8" i="12"/>
  <c r="R2" i="10"/>
  <c r="Q2" i="10"/>
  <c r="AA8" i="6"/>
  <c r="AG8" i="6"/>
  <c r="U8" i="6"/>
  <c r="O8" i="6"/>
  <c r="O27" i="5"/>
  <c r="K22" i="5"/>
  <c r="K19" i="5"/>
  <c r="K17" i="5"/>
  <c r="Q2" i="5"/>
  <c r="J2" i="5"/>
  <c r="Q34" i="1"/>
  <c r="Q35" i="1"/>
  <c r="Q36" i="1"/>
  <c r="Q38" i="1"/>
  <c r="L21" i="1"/>
  <c r="Q3" i="1"/>
  <c r="K19"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2" i="2"/>
  <c r="D21" i="2"/>
  <c r="D20" i="2"/>
  <c r="D19" i="2"/>
  <c r="D18" i="2"/>
  <c r="D17" i="2"/>
  <c r="D16" i="2"/>
  <c r="D15" i="2"/>
  <c r="D14" i="2"/>
  <c r="D13" i="2"/>
  <c r="D12" i="2"/>
  <c r="D11" i="2"/>
  <c r="D10" i="2"/>
  <c r="D9" i="2"/>
  <c r="D8" i="2"/>
  <c r="D7" i="2"/>
  <c r="D6" i="2"/>
  <c r="D5" i="2"/>
  <c r="D4" i="2"/>
  <c r="D3" i="2"/>
  <c r="D2" i="2"/>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3" i="1"/>
  <c r="I10" i="12" l="1"/>
  <c r="I7" i="12"/>
  <c r="H39" i="12"/>
  <c r="C39" i="12"/>
  <c r="B39" i="12"/>
  <c r="A39" i="12"/>
  <c r="H22" i="2"/>
  <c r="H21" i="2"/>
  <c r="H20"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7" i="1"/>
  <c r="H1" i="1"/>
  <c r="H39" i="1"/>
  <c r="H38" i="1"/>
  <c r="H36" i="1"/>
  <c r="H35" i="1"/>
  <c r="H34" i="1"/>
  <c r="H32" i="1"/>
  <c r="H31" i="1"/>
  <c r="H30" i="1"/>
  <c r="H28" i="1"/>
  <c r="H27" i="1"/>
  <c r="H26" i="1"/>
  <c r="H24" i="1"/>
  <c r="H23" i="1"/>
  <c r="H22" i="1"/>
  <c r="H20" i="1"/>
  <c r="H19" i="1"/>
  <c r="H18" i="1"/>
  <c r="H16" i="1"/>
  <c r="H15" i="1"/>
  <c r="H14" i="1"/>
  <c r="H12" i="1"/>
  <c r="H11" i="1"/>
  <c r="H10"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2" i="2"/>
  <c r="A22" i="2"/>
  <c r="B21" i="2"/>
  <c r="A21" i="2"/>
  <c r="B20" i="2"/>
  <c r="A20"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2" i="1"/>
  <c r="A32" i="1"/>
  <c r="B39" i="1"/>
  <c r="A39" i="1"/>
  <c r="B38" i="1"/>
  <c r="A38" i="1"/>
  <c r="B37" i="1"/>
  <c r="A37" i="1"/>
  <c r="B36" i="1"/>
  <c r="A36" i="1"/>
  <c r="B35" i="1"/>
  <c r="A35" i="1"/>
  <c r="A34" i="1"/>
  <c r="B34" i="1"/>
  <c r="A1" i="1"/>
  <c r="B33" i="1"/>
  <c r="A33"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9" i="1"/>
  <c r="H13" i="1"/>
  <c r="H17" i="1"/>
  <c r="H21" i="1"/>
  <c r="H25" i="1"/>
  <c r="H29" i="1"/>
  <c r="H33"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7" i="1"/>
  <c r="C33" i="1"/>
  <c r="C29" i="1"/>
  <c r="C25" i="1"/>
  <c r="C21" i="1"/>
  <c r="C17" i="1"/>
  <c r="C13" i="1"/>
  <c r="C9" i="1"/>
  <c r="C5" i="1"/>
  <c r="C1" i="1"/>
  <c r="C36" i="1"/>
  <c r="C31" i="1"/>
  <c r="C26" i="1"/>
  <c r="C20" i="1"/>
  <c r="C15" i="1"/>
  <c r="C10"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7" i="1"/>
  <c r="C39" i="1"/>
  <c r="C32" i="1"/>
  <c r="C24" i="1"/>
  <c r="C18" i="1"/>
  <c r="C11" i="1"/>
  <c r="C3" i="1"/>
  <c r="C22" i="2"/>
  <c r="C21" i="2"/>
  <c r="C20" i="2"/>
  <c r="C19" i="2"/>
  <c r="C18" i="2"/>
  <c r="C17" i="2"/>
  <c r="C16" i="2"/>
  <c r="C15" i="2"/>
  <c r="C14" i="2"/>
  <c r="C13" i="2"/>
  <c r="C12" i="2"/>
  <c r="C11" i="2"/>
  <c r="C10" i="2"/>
  <c r="C9" i="2"/>
  <c r="C8" i="2"/>
  <c r="C7" i="2"/>
  <c r="C5" i="2"/>
  <c r="C4" i="2"/>
  <c r="C3" i="2"/>
  <c r="C2" i="2"/>
  <c r="C1" i="2"/>
  <c r="C38" i="1"/>
  <c r="C30" i="1"/>
  <c r="C23" i="1"/>
  <c r="C16" i="1"/>
  <c r="C8" i="1"/>
  <c r="C2" i="1"/>
  <c r="C34" i="1"/>
  <c r="C19" i="1"/>
  <c r="C12" i="1"/>
  <c r="C6" i="1"/>
  <c r="C35" i="1"/>
  <c r="C28" i="1"/>
  <c r="C22" i="1"/>
  <c r="C14"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L19" i="1" l="1"/>
  <c r="M21" i="2"/>
  <c r="L21"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L29" i="1"/>
  <c r="N29" i="1" s="1"/>
  <c r="M37" i="1"/>
  <c r="M33" i="1" l="1"/>
  <c r="L33" i="1" l="1"/>
  <c r="N33" i="1" s="1"/>
  <c r="L37" i="1" l="1"/>
  <c r="N37" i="1" s="1"/>
  <c r="O33"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0" i="2"/>
  <c r="L20" i="2" s="1"/>
  <c r="M18" i="2"/>
  <c r="L18" i="2" s="1"/>
  <c r="M15" i="2"/>
  <c r="L15" i="2" s="1"/>
  <c r="M14" i="2"/>
  <c r="L14" i="2" s="1"/>
  <c r="M13" i="2"/>
  <c r="L13" i="2" s="1"/>
  <c r="M12" i="2"/>
  <c r="L12" i="2" s="1"/>
  <c r="M11" i="2"/>
  <c r="L11" i="2" s="1"/>
  <c r="M9" i="2"/>
  <c r="L9" i="2" s="1"/>
  <c r="S19" i="1"/>
  <c r="O37" i="1"/>
  <c r="M7" i="2" l="1"/>
  <c r="L7" i="2" s="1"/>
  <c r="Q22" i="2"/>
  <c r="M8" i="2"/>
  <c r="L8" i="2" s="1"/>
  <c r="M17" i="2"/>
  <c r="L17" i="2" s="1"/>
  <c r="M19" i="1"/>
  <c r="N7" i="1" l="1"/>
  <c r="N12" i="1"/>
  <c r="N6" i="1"/>
  <c r="N17" i="1"/>
  <c r="N13" i="1"/>
  <c r="N9" i="1"/>
  <c r="N16" i="1"/>
  <c r="N8" i="1"/>
  <c r="N15" i="1"/>
  <c r="N11" i="1"/>
  <c r="N14" i="1"/>
  <c r="N10" i="1"/>
  <c r="M22" i="10"/>
  <c r="L22" i="10"/>
  <c r="K22" i="10"/>
  <c r="K27" i="10" s="1"/>
  <c r="S15" i="10"/>
  <c r="R15" i="10"/>
  <c r="Q15" i="10"/>
  <c r="P15" i="10"/>
  <c r="K28" i="10" l="1"/>
  <c r="L32" i="10"/>
  <c r="M38" i="9"/>
  <c r="L38" i="9"/>
  <c r="M24" i="8"/>
  <c r="M23" i="8"/>
  <c r="M22" i="8"/>
  <c r="M21" i="8"/>
  <c r="M16" i="8"/>
  <c r="M15" i="8"/>
  <c r="M14" i="8"/>
  <c r="M13" i="8"/>
  <c r="M8" i="8"/>
  <c r="M7" i="8"/>
  <c r="M6" i="8"/>
  <c r="M5" i="8"/>
  <c r="S14" i="7"/>
  <c r="R14" i="7"/>
  <c r="Q14" i="7"/>
  <c r="P14" i="7"/>
  <c r="O14" i="7"/>
  <c r="L14" i="7"/>
  <c r="T12" i="5"/>
  <c r="U4" i="5" s="1"/>
  <c r="M12" i="5"/>
  <c r="N8" i="5" s="1"/>
  <c r="L12" i="5"/>
  <c r="N11" i="5"/>
  <c r="N10" i="5"/>
  <c r="N9" i="5"/>
  <c r="U5" i="5"/>
  <c r="S36" i="1"/>
  <c r="S24" i="1"/>
  <c r="S25" i="1" s="1"/>
  <c r="O19" i="1"/>
  <c r="U9" i="5" l="1"/>
  <c r="U7" i="5"/>
  <c r="U8" i="5"/>
  <c r="U6" i="5"/>
  <c r="N7" i="5"/>
  <c r="N5" i="5"/>
  <c r="S16" i="5"/>
  <c r="M15" i="5"/>
  <c r="N4" i="5"/>
  <c r="N6" i="5"/>
  <c r="M22" i="2"/>
  <c r="L22" i="2" s="1"/>
  <c r="N19" i="1"/>
  <c r="M10" i="8"/>
  <c r="K28" i="8"/>
  <c r="M26" i="8"/>
  <c r="M18" i="8"/>
  <c r="S26" i="1"/>
  <c r="U12" i="5" l="1"/>
  <c r="N12" i="5"/>
  <c r="P19" i="10"/>
  <c r="O28" i="3"/>
  <c r="N28" i="3" s="1"/>
  <c r="M28" i="8"/>
</calcChain>
</file>

<file path=xl/sharedStrings.xml><?xml version="1.0" encoding="utf-8"?>
<sst xmlns="http://schemas.openxmlformats.org/spreadsheetml/2006/main" count="4781" uniqueCount="2341">
  <si>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</si>
  <si>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</si>
  <si>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</si>
  <si>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</si>
  <si>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</si>
  <si>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</si>
  <si>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</si>
  <si>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</si>
  <si>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</si>
  <si>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</si>
  <si>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</si>
  <si>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</si>
  <si>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</si>
  <si>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</si>
  <si>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</si>
  <si>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</si>
  <si>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</si>
  <si>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</si>
  <si>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</si>
  <si>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</si>
  <si>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</si>
  <si>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</si>
  <si>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</si>
  <si>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</si>
  <si>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</si>
  <si>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</si>
  <si>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</si>
  <si>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</si>
  <si>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</si>
  <si>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</si>
  <si>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</si>
  <si>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</si>
  <si>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</si>
  <si>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</si>
  <si>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</si>
  <si>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</si>
  <si>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</si>
  <si>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</si>
  <si>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</si>
  <si>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</si>
  <si>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</si>
  <si>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</si>
  <si>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</si>
  <si>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</si>
  <si>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</si>
  <si>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</si>
  <si>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</si>
  <si>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</si>
  <si>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</si>
  <si>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</si>
  <si>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</si>
  <si>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</si>
  <si>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</si>
  <si>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</si>
  <si>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</si>
  <si>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</si>
  <si>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</si>
  <si>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</si>
  <si>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</si>
  <si>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</si>
  <si>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</si>
  <si>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</si>
  <si>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</si>
  <si>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</si>
  <si>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</si>
  <si>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</si>
  <si>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</si>
  <si>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</si>
  <si>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</si>
  <si>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</si>
  <si>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</si>
  <si>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</si>
  <si>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</si>
  <si>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</si>
  <si>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</si>
  <si>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</si>
  <si>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</si>
  <si>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</si>
  <si>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</si>
  <si>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</si>
  <si>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</si>
  <si>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</si>
  <si>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</si>
  <si>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</si>
  <si>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</si>
  <si>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</si>
  <si>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</si>
  <si>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</si>
  <si>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</si>
  <si>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</si>
  <si>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</si>
  <si>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</si>
  <si>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</si>
  <si>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</si>
  <si>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</si>
  <si>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</si>
  <si>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</si>
  <si>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</si>
  <si>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</si>
  <si>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</si>
  <si>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</si>
  <si>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</si>
  <si>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</si>
  <si>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</si>
  <si>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</si>
  <si>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</si>
  <si>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</si>
  <si>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</si>
  <si>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</si>
  <si>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</si>
  <si>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</si>
  <si>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</si>
  <si>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</si>
  <si>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</si>
  <si>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</si>
  <si>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</si>
  <si>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</si>
  <si>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</si>
  <si>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</si>
  <si>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</si>
  <si>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</si>
  <si>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</si>
  <si>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</si>
  <si>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</si>
  <si>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</si>
  <si>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</si>
  <si>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</si>
  <si>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</si>
  <si>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</si>
  <si>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</si>
  <si>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</si>
  <si>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</si>
  <si>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</si>
  <si>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</si>
  <si>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</si>
  <si>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</si>
  <si>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</si>
  <si>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</si>
  <si>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</si>
  <si>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</si>
  <si>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</si>
  <si>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</si>
  <si>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</si>
  <si>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</si>
  <si>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</si>
  <si>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</si>
  <si>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</si>
  <si>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</si>
  <si>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</si>
  <si>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</si>
  <si>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</si>
  <si>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</si>
  <si>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</si>
  <si>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</si>
  <si>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</si>
  <si>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</si>
  <si>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</si>
  <si>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</si>
  <si>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</si>
  <si>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</si>
  <si>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</si>
  <si>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</si>
  <si>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</si>
  <si>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</si>
  <si>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</si>
  <si>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</si>
  <si>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</si>
  <si>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</si>
  <si>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</si>
  <si>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</si>
  <si>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</si>
  <si>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</si>
  <si>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</si>
  <si>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</si>
  <si>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</si>
  <si>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</si>
  <si>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</si>
  <si>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</si>
  <si>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</si>
  <si>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</si>
  <si>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</si>
  <si>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</si>
  <si>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</si>
  <si>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</si>
  <si>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</si>
  <si>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</si>
  <si>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</si>
  <si>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</si>
  <si>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</si>
  <si>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</si>
  <si>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</si>
  <si>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</si>
  <si>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</si>
  <si>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</si>
  <si>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</si>
  <si>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</si>
  <si>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</si>
  <si>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</si>
  <si>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</si>
  <si>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</si>
  <si>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</si>
  <si>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</si>
  <si>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</si>
  <si>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</si>
  <si>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</si>
  <si>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</si>
  <si>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</si>
  <si>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</si>
  <si>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</si>
  <si>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</si>
  <si>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</si>
  <si>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</si>
  <si>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</si>
  <si>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</si>
  <si>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</si>
  <si>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</si>
  <si>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</si>
  <si>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</si>
  <si>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</si>
  <si>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</si>
  <si>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</si>
  <si>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</si>
  <si>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</si>
  <si>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</si>
  <si>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</si>
  <si>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</si>
  <si>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</si>
  <si>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</si>
  <si>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</si>
  <si>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</si>
  <si>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</si>
  <si>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</si>
  <si>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</si>
  <si>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</si>
  <si>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</si>
  <si>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</si>
  <si>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</si>
  <si>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</si>
  <si>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</si>
  <si>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</si>
  <si>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</si>
  <si>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</si>
  <si>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</si>
  <si>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</si>
  <si>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</si>
  <si>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</si>
  <si>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</si>
  <si>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</si>
  <si>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</si>
  <si>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</si>
  <si>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</si>
  <si>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</si>
  <si>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</si>
  <si>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</si>
  <si>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</si>
  <si>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</si>
  <si>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</si>
  <si>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</si>
  <si>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</si>
  <si>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</si>
  <si>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</si>
  <si>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</si>
  <si>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</si>
  <si>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</si>
  <si>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</si>
  <si>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</si>
  <si>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</si>
  <si>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</si>
  <si>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</si>
  <si>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</si>
  <si>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</si>
  <si>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</si>
  <si>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</si>
  <si>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</si>
  <si>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</si>
  <si>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</si>
  <si>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</si>
  <si>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</si>
  <si>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</si>
  <si>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</si>
  <si>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</si>
  <si>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</si>
  <si>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</si>
  <si>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</si>
  <si>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</si>
  <si>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</si>
  <si>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</si>
  <si>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</si>
  <si>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</si>
  <si>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</si>
  <si>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</si>
  <si>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</si>
  <si>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</si>
  <si>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</si>
  <si>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</si>
  <si>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</si>
  <si>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</si>
  <si>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</si>
  <si>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</si>
  <si>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</si>
  <si>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</si>
  <si>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</si>
  <si>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</si>
  <si>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</si>
  <si>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</si>
  <si>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</si>
  <si>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</si>
  <si>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</si>
  <si>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</si>
  <si>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</si>
  <si>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</si>
  <si>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</si>
  <si>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</si>
  <si>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</si>
  <si>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</si>
  <si>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</si>
  <si>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</si>
  <si>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</si>
  <si>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</si>
  <si>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</si>
  <si>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</si>
  <si>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</si>
  <si>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</si>
  <si>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</si>
  <si>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</si>
  <si>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</si>
  <si>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</si>
  <si>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</si>
  <si>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</si>
  <si>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</si>
  <si>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</si>
  <si>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</si>
  <si>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</si>
  <si>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</si>
  <si>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</si>
  <si>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</si>
  <si>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</si>
  <si>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</si>
  <si>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</si>
  <si>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</si>
  <si>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</si>
  <si>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</si>
  <si>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</si>
  <si>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</si>
  <si>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</si>
  <si>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</si>
  <si>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</si>
  <si>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</si>
  <si>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</si>
  <si>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</si>
  <si>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</si>
  <si>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</si>
  <si>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</si>
  <si>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</si>
  <si>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</si>
  <si>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</si>
  <si>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</si>
  <si>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</si>
  <si>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</si>
  <si>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</si>
  <si>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</si>
  <si>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</si>
  <si>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</si>
  <si>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</si>
  <si>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</si>
  <si>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</si>
  <si>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</si>
  <si>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</si>
  <si>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</si>
  <si>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</si>
  <si>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</si>
  <si>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</si>
  <si>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</si>
  <si>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</si>
  <si>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</si>
  <si>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</si>
  <si>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</si>
  <si>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</si>
  <si>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</si>
  <si>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</si>
  <si>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</si>
  <si>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</si>
  <si>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</si>
  <si>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</si>
  <si>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</si>
  <si>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</si>
  <si>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</si>
  <si>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</si>
  <si>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</si>
  <si>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</si>
  <si>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</si>
  <si>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</si>
  <si>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</si>
  <si>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</si>
  <si>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</si>
  <si>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</si>
  <si>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</si>
  <si>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</si>
  <si>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</si>
  <si>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</si>
  <si>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</si>
  <si>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</si>
  <si>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</si>
  <si>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</si>
  <si>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</si>
  <si>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</si>
  <si>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</si>
  <si>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</si>
  <si>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</si>
  <si>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</si>
  <si>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</si>
  <si>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</si>
  <si>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</si>
  <si>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</si>
  <si>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</si>
  <si>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</si>
  <si>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</si>
  <si>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</si>
  <si>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</si>
  <si>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</si>
  <si>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</si>
  <si>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</si>
  <si>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</si>
  <si>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</si>
  <si>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</si>
  <si>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</si>
  <si>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</si>
  <si>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</si>
  <si>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</si>
  <si>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</si>
  <si>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</si>
  <si>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</si>
  <si>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</si>
  <si>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</si>
  <si>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</si>
  <si>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</si>
  <si>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</si>
  <si>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</si>
  <si>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</si>
  <si>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</si>
  <si>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</si>
  <si>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</si>
  <si>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</si>
  <si>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</si>
  <si>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</si>
  <si>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</si>
  <si>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</si>
  <si>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</si>
  <si>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</si>
  <si>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</si>
  <si>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</si>
  <si>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</si>
  <si>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</si>
  <si>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</si>
  <si>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</si>
  <si>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</si>
  <si>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</si>
  <si>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</si>
  <si>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</si>
  <si>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</si>
  <si>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</si>
  <si>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</si>
  <si>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</si>
  <si>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</si>
  <si>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</si>
  <si>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</si>
  <si>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</si>
  <si>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</si>
  <si>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</si>
  <si>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</si>
  <si>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</si>
  <si>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</si>
  <si>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</si>
  <si>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</si>
  <si>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</si>
  <si>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</si>
  <si>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</si>
  <si>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</si>
  <si>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</si>
  <si>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</si>
  <si>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</si>
  <si>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</si>
  <si>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</si>
  <si>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</si>
  <si>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</si>
  <si>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</si>
  <si>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</si>
  <si>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</si>
  <si>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</si>
  <si>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</si>
  <si>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</si>
  <si>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</si>
  <si>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</si>
  <si>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</si>
  <si>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</si>
  <si>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</si>
  <si>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</si>
  <si>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</si>
  <si>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</si>
  <si>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</si>
  <si>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</si>
  <si>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</si>
  <si>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</si>
  <si>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</si>
  <si>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</si>
  <si>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</si>
  <si>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</si>
  <si>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</si>
  <si>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</si>
  <si>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</si>
  <si>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</si>
  <si>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</si>
  <si>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</si>
  <si>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</si>
  <si>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</si>
  <si>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</si>
  <si>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</si>
  <si>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</si>
  <si>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</si>
  <si>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</si>
  <si>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</si>
  <si>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</si>
  <si>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</si>
  <si>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</si>
  <si>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</si>
  <si>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</si>
  <si>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</si>
  <si>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</si>
  <si>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</si>
  <si>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</si>
  <si>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</si>
  <si>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</si>
  <si>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</si>
  <si>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</si>
  <si>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</si>
  <si>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</si>
  <si>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</si>
  <si>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</si>
  <si>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</si>
  <si>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</si>
  <si>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</si>
  <si>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</si>
  <si>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</si>
  <si>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</si>
  <si>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</si>
  <si>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</si>
  <si>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</si>
  <si>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</si>
  <si>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</si>
  <si>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</si>
  <si>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</si>
  <si>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</si>
  <si>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</si>
  <si>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</si>
  <si>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</si>
  <si>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</si>
  <si>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</si>
  <si>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</si>
  <si>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</si>
  <si>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</si>
  <si>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</si>
  <si>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</si>
  <si>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</si>
  <si>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</si>
  <si>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</si>
  <si>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</si>
  <si>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</si>
  <si>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</si>
  <si>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</si>
  <si>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</si>
  <si>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</si>
  <si>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</si>
  <si>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</si>
  <si>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</si>
  <si>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</si>
  <si>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</si>
  <si>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</si>
  <si>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</si>
  <si>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</si>
  <si>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</si>
  <si>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</si>
  <si>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</si>
  <si>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</si>
  <si>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</si>
  <si>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</si>
  <si>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</si>
  <si>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</si>
  <si>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</si>
  <si>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</si>
  <si>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</si>
  <si>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</si>
  <si>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</si>
  <si>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</si>
  <si>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</si>
  <si>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</si>
  <si>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</si>
  <si>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</si>
  <si>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</si>
  <si>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</si>
  <si>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</si>
  <si>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</si>
  <si>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</si>
  <si>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</si>
  <si>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</si>
  <si>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</si>
  <si>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</si>
  <si>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</si>
  <si>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</si>
  <si>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</si>
  <si>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</si>
  <si>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</si>
  <si>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</si>
  <si>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</si>
  <si>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</si>
  <si>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</si>
  <si>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</si>
  <si>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</si>
  <si>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</si>
  <si>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</si>
  <si>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</si>
  <si>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</si>
  <si>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</si>
  <si>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</si>
  <si>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</si>
  <si>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</si>
  <si>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</si>
  <si>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</si>
  <si>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</si>
  <si>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</si>
  <si>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</si>
  <si>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</si>
  <si>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</si>
  <si>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</si>
  <si>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</si>
  <si>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</si>
  <si>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</si>
  <si>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</si>
  <si>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</si>
  <si>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</si>
  <si>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</si>
  <si>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</si>
  <si>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</si>
  <si>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</si>
  <si>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</si>
  <si>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</si>
  <si>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</si>
  <si>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</si>
  <si>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</si>
  <si>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</si>
  <si>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</si>
  <si>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</si>
  <si>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</si>
  <si>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</si>
  <si>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</si>
  <si>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</si>
  <si>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</si>
  <si>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</si>
  <si>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</si>
  <si>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</si>
  <si>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</si>
  <si>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</si>
  <si>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</si>
  <si>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</si>
  <si>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</si>
  <si>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</si>
  <si>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</si>
  <si>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</si>
  <si>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</si>
  <si>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</si>
  <si>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</si>
  <si>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</si>
  <si>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</si>
  <si>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</si>
  <si>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</si>
  <si>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</si>
  <si>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</si>
  <si>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</si>
  <si>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</si>
  <si>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</si>
  <si>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</si>
  <si>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</si>
  <si>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</si>
  <si>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</si>
  <si>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</si>
  <si>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</si>
  <si>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</si>
  <si>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</si>
  <si>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</si>
  <si>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</si>
  <si>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</si>
  <si>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</si>
  <si>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</si>
  <si>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</si>
  <si>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</si>
  <si>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</si>
  <si>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</si>
  <si>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</si>
  <si>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</si>
  <si>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</si>
  <si>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</si>
  <si>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</si>
  <si>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</si>
  <si>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</si>
  <si>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</si>
  <si>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</si>
  <si>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</si>
  <si>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</si>
  <si>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</si>
  <si>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</si>
  <si>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</si>
  <si>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</si>
  <si>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</si>
  <si>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</si>
  <si>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</si>
  <si>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</si>
  <si>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</si>
  <si>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</si>
  <si>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</si>
  <si>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</si>
  <si>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</si>
  <si>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</si>
  <si>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</si>
  <si>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</si>
  <si>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</si>
  <si>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</si>
  <si>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</si>
  <si>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</si>
  <si>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</si>
  <si>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</si>
  <si>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</si>
  <si>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</si>
  <si>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</si>
  <si>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</si>
  <si>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</si>
  <si>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</si>
  <si>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</si>
  <si>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</si>
  <si>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</si>
  <si>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</si>
  <si>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</si>
  <si>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</si>
  <si>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</si>
  <si>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</si>
  <si>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</si>
  <si>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</si>
  <si>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</si>
  <si>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</si>
  <si>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</si>
  <si>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</si>
  <si>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</si>
  <si>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</si>
  <si>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</si>
  <si>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</si>
  <si>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</si>
  <si>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</si>
  <si>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</si>
  <si>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</si>
  <si>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</si>
  <si>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</si>
  <si>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</si>
  <si>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</si>
  <si>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</si>
  <si>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</si>
  <si>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</si>
  <si>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</si>
  <si>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</si>
  <si>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</si>
  <si>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</si>
  <si>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</si>
  <si>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</si>
  <si>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</si>
  <si>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</si>
  <si>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</si>
  <si>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</si>
  <si>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</si>
  <si>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</si>
  <si>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</si>
  <si>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</si>
  <si>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</si>
  <si>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</si>
  <si>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</si>
  <si>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</si>
  <si>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</si>
  <si>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</si>
  <si>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</si>
  <si>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</si>
  <si>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</si>
  <si>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</si>
  <si>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</si>
  <si>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</si>
  <si>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</si>
  <si>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</si>
  <si>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</si>
  <si>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</si>
  <si>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</si>
  <si>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</si>
  <si>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</si>
  <si>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</si>
  <si>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</si>
  <si>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</si>
  <si>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</si>
  <si>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</si>
  <si>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</si>
  <si>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</si>
  <si>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</si>
  <si>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</si>
  <si>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</si>
  <si>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</si>
  <si>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</si>
  <si>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</si>
  <si>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</si>
  <si>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</si>
  <si>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</si>
  <si>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</si>
  <si>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</si>
  <si>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</si>
  <si>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</si>
  <si>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</si>
  <si>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</si>
  <si>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</si>
  <si>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</si>
  <si>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</si>
  <si>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</si>
  <si>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</si>
  <si>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</si>
  <si>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</si>
  <si>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</si>
  <si>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</si>
  <si>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</si>
  <si>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</si>
  <si>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</si>
  <si>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</si>
  <si>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</si>
  <si>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</si>
  <si>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</si>
  <si>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</si>
  <si>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</si>
  <si>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</si>
  <si>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</si>
  <si>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</si>
  <si>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</si>
  <si>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</si>
  <si>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</si>
  <si>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</si>
  <si>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</si>
  <si>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</si>
  <si>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</si>
  <si>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</si>
  <si>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</si>
  <si>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</si>
  <si>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</si>
  <si>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</si>
  <si>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</si>
  <si>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</si>
  <si>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</si>
  <si>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</si>
  <si>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</si>
  <si>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</si>
  <si>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</si>
  <si>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</si>
  <si>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</si>
  <si>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</si>
  <si>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</si>
  <si>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</si>
  <si>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</si>
  <si>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</si>
  <si>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</si>
  <si>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</si>
  <si>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</si>
  <si>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</si>
  <si>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</si>
  <si>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</si>
  <si>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</si>
  <si>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</si>
  <si>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</si>
  <si>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</si>
  <si>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</si>
  <si>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</si>
  <si>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</si>
  <si>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</si>
  <si>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</si>
  <si>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</si>
  <si>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</si>
  <si>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</si>
  <si>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</si>
  <si>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</si>
  <si>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</si>
  <si>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</si>
  <si>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</si>
  <si>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</si>
  <si>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</si>
  <si>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</si>
  <si>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</si>
  <si>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</si>
  <si>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</si>
  <si>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</si>
  <si>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</si>
  <si>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</si>
  <si>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</si>
  <si>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</si>
  <si>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</si>
  <si>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</si>
  <si>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</si>
  <si>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</si>
  <si>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</si>
  <si>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</si>
  <si>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</si>
  <si>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</si>
  <si>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</si>
  <si>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</si>
  <si>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</si>
  <si>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</si>
  <si>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</si>
  <si>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</si>
  <si>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</si>
  <si>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</si>
  <si>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</si>
  <si>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</si>
  <si>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</si>
  <si>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</si>
  <si>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</si>
  <si>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</si>
  <si>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</si>
  <si>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</si>
  <si>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</si>
  <si>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</si>
  <si>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</si>
  <si>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</si>
  <si>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</si>
  <si>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</si>
  <si>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</si>
  <si>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</si>
  <si>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</si>
  <si>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</si>
  <si>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</si>
  <si>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</si>
  <si>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</si>
  <si>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</si>
  <si>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</si>
  <si>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</si>
  <si>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</si>
  <si>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</si>
  <si>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</si>
  <si>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</si>
  <si>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</si>
  <si>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</si>
  <si>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</si>
  <si>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</si>
  <si>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</si>
  <si>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</si>
  <si>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</si>
  <si>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</si>
  <si>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</si>
  <si>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</si>
  <si>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</si>
  <si>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</si>
  <si>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</si>
  <si>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</si>
  <si>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</si>
  <si>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</si>
  <si>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</si>
  <si>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</si>
  <si>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</si>
  <si>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</si>
  <si>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</si>
  <si>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</si>
  <si>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</si>
  <si>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</si>
  <si>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</si>
  <si>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</si>
  <si>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</si>
  <si>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</si>
  <si>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</si>
  <si>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</si>
  <si>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</si>
  <si>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</si>
  <si>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</si>
  <si>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</si>
  <si>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</si>
  <si>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</si>
  <si>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</si>
  <si>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</si>
  <si>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</si>
  <si>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</si>
  <si>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</si>
  <si>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</si>
  <si>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</si>
  <si>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</si>
  <si>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</si>
  <si>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</si>
  <si>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</si>
  <si>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</si>
  <si>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</si>
  <si>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</si>
  <si>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</si>
  <si>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</si>
  <si>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</si>
  <si>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</si>
  <si>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</si>
  <si>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</si>
  <si>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</si>
  <si>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</si>
  <si>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</si>
  <si>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</si>
  <si>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</si>
  <si>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</si>
  <si>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</si>
  <si>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</si>
  <si>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</si>
  <si>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</si>
  <si>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</si>
  <si>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</si>
  <si>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</si>
  <si>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</si>
  <si>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</si>
  <si>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</si>
  <si>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</si>
  <si>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</si>
  <si>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</si>
  <si>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</si>
  <si>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</si>
  <si>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</si>
  <si>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</si>
  <si>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</si>
  <si>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</si>
  <si>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</si>
  <si>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</si>
  <si>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</si>
  <si>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</si>
  <si>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</si>
  <si>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</si>
  <si>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</si>
  <si>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</si>
  <si>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</si>
  <si>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</si>
  <si>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</si>
  <si>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</si>
  <si>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</si>
  <si>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</si>
  <si>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</si>
  <si>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</si>
  <si>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</si>
  <si>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</si>
  <si>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</si>
  <si>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</si>
  <si>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</si>
  <si>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</si>
  <si>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</si>
  <si>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</si>
  <si>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</si>
  <si>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</si>
  <si>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</si>
  <si>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</si>
  <si>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</si>
  <si>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</si>
  <si>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</si>
  <si>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</si>
  <si>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</si>
  <si>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</si>
  <si>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</si>
  <si>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</si>
  <si>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</si>
  <si>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</si>
  <si>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</si>
  <si>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</si>
  <si>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</si>
  <si>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</si>
  <si>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</si>
  <si>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</si>
  <si>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</si>
  <si>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</si>
  <si>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</si>
  <si>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</si>
  <si>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</si>
  <si>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</si>
  <si>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</si>
  <si>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</si>
  <si>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</si>
  <si>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</si>
  <si>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</si>
  <si>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</si>
  <si>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</si>
  <si>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</si>
  <si>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</si>
  <si>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</si>
  <si>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</si>
  <si>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</si>
  <si>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</si>
  <si>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</si>
  <si>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</si>
  <si>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</si>
  <si>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</si>
  <si>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</si>
  <si>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</si>
  <si>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</si>
  <si>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</si>
  <si>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</si>
  <si>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</si>
  <si>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</si>
  <si>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</si>
  <si>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</si>
  <si>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</si>
  <si>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</si>
  <si>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</si>
  <si>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</si>
  <si>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</si>
  <si>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</si>
  <si>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</si>
  <si>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</si>
  <si>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</si>
  <si>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</si>
  <si>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</si>
  <si>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</si>
  <si>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</si>
  <si>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</si>
  <si>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</si>
  <si>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</si>
  <si>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</si>
  <si>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</si>
  <si>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</si>
  <si>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</si>
  <si>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</si>
  <si>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</si>
  <si>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</si>
  <si>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</si>
  <si>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</si>
  <si>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</si>
  <si>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</si>
  <si>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</si>
  <si>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</si>
  <si>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</si>
  <si>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</si>
  <si>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</si>
  <si>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</si>
  <si>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</si>
  <si>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</si>
  <si>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</si>
  <si>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</si>
  <si>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</si>
  <si>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</si>
  <si>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</si>
  <si>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</si>
  <si>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</si>
  <si>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</si>
  <si>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</si>
  <si>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</si>
  <si>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</si>
  <si>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</si>
  <si>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</si>
  <si>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</si>
  <si>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</si>
  <si>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</si>
  <si>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</si>
  <si>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</si>
  <si>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</si>
  <si>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</si>
  <si>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</si>
  <si>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</si>
  <si>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</si>
  <si>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</si>
  <si>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</si>
  <si>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</si>
  <si>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</si>
  <si>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</si>
  <si>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</si>
  <si>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</si>
  <si>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</si>
  <si>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</si>
  <si>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</si>
  <si>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</si>
  <si>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</si>
  <si>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</si>
  <si>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</si>
  <si>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</si>
  <si>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</si>
  <si>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</si>
  <si>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</si>
  <si>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</si>
  <si>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</si>
  <si>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</si>
  <si>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</si>
  <si>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</si>
  <si>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</si>
  <si>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</si>
  <si>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</si>
  <si>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</si>
  <si>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</si>
  <si>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</si>
  <si>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</si>
  <si>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</si>
  <si>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</si>
  <si>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</si>
  <si>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</si>
  <si>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</si>
  <si>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</si>
  <si>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</si>
  <si>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</si>
  <si>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</si>
  <si>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</si>
  <si>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</si>
  <si>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</si>
  <si>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</si>
  <si>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</si>
  <si>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</si>
  <si>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</si>
  <si>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</si>
  <si>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</si>
  <si>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</si>
  <si>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</si>
  <si>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</si>
  <si>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</si>
  <si>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</si>
  <si>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</si>
  <si>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</si>
  <si>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</si>
  <si>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</si>
  <si>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</si>
  <si>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</si>
  <si>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</si>
  <si>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</si>
  <si>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</si>
  <si>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</si>
  <si>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</si>
  <si>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</si>
  <si>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</si>
  <si>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</si>
  <si>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</si>
  <si>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</si>
  <si>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</si>
  <si>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</si>
  <si>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</si>
  <si>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</si>
  <si>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</si>
  <si>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</si>
  <si>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</si>
  <si>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</si>
  <si>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</si>
  <si>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</si>
  <si>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</si>
  <si>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</si>
  <si>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</si>
  <si>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</si>
  <si>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</si>
  <si>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</si>
  <si>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</si>
  <si>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</si>
  <si>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</si>
  <si>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</si>
  <si>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</si>
  <si>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</si>
  <si>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</si>
  <si>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</si>
  <si>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</si>
  <si>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</si>
  <si>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</si>
  <si>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</si>
  <si>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</si>
  <si>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</si>
  <si>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</si>
  <si>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</si>
  <si>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</si>
  <si>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</si>
  <si>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</si>
  <si>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</si>
  <si>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</si>
  <si>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</si>
  <si>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</si>
  <si>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</si>
  <si>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</si>
  <si>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</si>
  <si>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</si>
  <si>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</si>
  <si>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</si>
  <si>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</si>
  <si>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</si>
  <si>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</si>
  <si>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</si>
  <si>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</si>
  <si>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</si>
  <si>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</si>
  <si>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</si>
  <si>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</si>
  <si>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</si>
  <si>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</si>
  <si>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</si>
  <si>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</si>
  <si>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</si>
  <si>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</si>
  <si>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</si>
  <si>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</si>
  <si>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</si>
  <si>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</si>
  <si>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</si>
  <si>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</si>
  <si>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</si>
  <si>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</si>
  <si>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</si>
  <si>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</si>
  <si>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</si>
  <si>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</si>
  <si>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</si>
  <si>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</si>
  <si>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</si>
  <si>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</si>
  <si>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</si>
  <si>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</si>
  <si>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</si>
  <si>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</si>
  <si>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</si>
  <si>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</si>
  <si>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</si>
  <si>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</si>
  <si>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</si>
  <si>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</si>
  <si>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</si>
  <si>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</si>
  <si>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</si>
  <si>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</si>
  <si>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</si>
  <si>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</si>
  <si>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</si>
  <si>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</si>
  <si>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</si>
  <si>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</si>
  <si>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</si>
  <si>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</si>
  <si>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</si>
  <si>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</si>
  <si>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</si>
  <si>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</si>
  <si>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</si>
  <si>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</si>
  <si>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</si>
  <si>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</si>
  <si>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</si>
  <si>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</si>
  <si>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</si>
  <si>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</si>
  <si>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</si>
  <si>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</si>
  <si>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</si>
  <si>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</si>
  <si>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</si>
  <si>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</si>
  <si>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</si>
  <si>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</si>
  <si>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</si>
  <si>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</si>
  <si>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</si>
  <si>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</si>
  <si>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</si>
  <si>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</si>
  <si>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</si>
  <si>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</si>
  <si>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</si>
  <si>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</si>
  <si>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</si>
  <si>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</si>
  <si>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</si>
  <si>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</si>
  <si>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</si>
  <si>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</si>
  <si>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</si>
  <si>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</si>
  <si>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</si>
  <si>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</si>
  <si>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</si>
  <si>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</si>
  <si>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</si>
  <si>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</si>
  <si>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</si>
  <si>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</si>
  <si>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</si>
  <si>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</si>
  <si>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</si>
  <si>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</si>
  <si>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</si>
  <si>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</si>
  <si>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</si>
  <si>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</si>
  <si>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</si>
  <si>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</si>
  <si>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</si>
  <si>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</si>
  <si>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</si>
  <si>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</si>
  <si>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</si>
  <si>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</si>
  <si>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</si>
  <si>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</si>
  <si>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</si>
  <si>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</si>
  <si>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</si>
  <si>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</si>
  <si>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</si>
  <si>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</si>
  <si>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</si>
  <si>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</si>
  <si>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</si>
  <si>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</si>
  <si>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</si>
  <si>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</si>
  <si>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</si>
  <si>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</si>
  <si>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</si>
  <si>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</si>
  <si>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</si>
  <si>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</si>
  <si>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</si>
  <si>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</si>
  <si>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</si>
  <si>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</si>
  <si>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</si>
  <si>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</si>
  <si>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</si>
  <si>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</si>
  <si>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</si>
  <si>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</si>
  <si>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</si>
  <si>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</si>
  <si>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</si>
  <si>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</si>
  <si>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</si>
  <si>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</si>
  <si>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</si>
  <si>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</si>
  <si>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</si>
  <si>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</si>
  <si>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</si>
  <si>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</si>
  <si>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</si>
  <si>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</si>
  <si>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</si>
  <si>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</si>
  <si>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</si>
  <si>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</si>
  <si>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</si>
  <si>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</si>
  <si>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</si>
  <si>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</si>
  <si>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</si>
  <si>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</si>
  <si>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</si>
  <si>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</si>
  <si>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</si>
  <si>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</si>
  <si>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</si>
  <si>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</si>
  <si>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</si>
  <si>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</si>
  <si>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</si>
  <si>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</si>
  <si>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</si>
  <si>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</si>
  <si>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</si>
  <si>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</si>
  <si>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</si>
  <si>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</si>
  <si>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</si>
  <si>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</si>
  <si>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</si>
  <si>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</si>
  <si>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</si>
  <si>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</si>
  <si>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</si>
  <si>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</si>
  <si>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</si>
  <si>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</si>
  <si>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</si>
  <si>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</si>
  <si>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</si>
  <si>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</si>
  <si>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</si>
  <si>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</si>
  <si>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</si>
  <si>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</si>
  <si>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</si>
  <si>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</si>
  <si>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</si>
  <si>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</si>
  <si>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</si>
  <si>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</si>
  <si>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</si>
  <si>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</si>
  <si>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</si>
  <si>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</si>
  <si>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</si>
  <si>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</si>
  <si>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</si>
  <si>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</si>
  <si>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</si>
  <si>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</si>
  <si>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</si>
  <si>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</si>
  <si>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</si>
  <si>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</si>
  <si>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</si>
  <si>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</si>
  <si>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</si>
  <si>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</si>
  <si>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</si>
  <si>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</si>
  <si>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</si>
  <si>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</si>
  <si>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</si>
  <si>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</si>
  <si>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</si>
  <si>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</si>
  <si>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</si>
  <si>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</si>
  <si>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</si>
  <si>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</si>
  <si>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</si>
  <si>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</si>
  <si>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</si>
  <si>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</si>
  <si>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</si>
  <si>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</si>
  <si>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</si>
  <si>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</si>
  <si>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</si>
  <si>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</si>
  <si>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</si>
  <si>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</si>
  <si>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</si>
  <si>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</si>
  <si>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</si>
  <si>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</si>
  <si>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</si>
  <si>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</si>
  <si>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</si>
  <si>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</si>
  <si>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</si>
  <si>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</si>
  <si>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</si>
  <si>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</si>
  <si>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</si>
  <si>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</si>
  <si>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</si>
  <si>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</si>
  <si>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</si>
  <si>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</si>
  <si>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</si>
  <si>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</si>
  <si>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</si>
  <si>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</si>
  <si>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</si>
  <si>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</si>
  <si>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</si>
  <si>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</si>
  <si>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</si>
  <si>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</si>
  <si>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</si>
  <si>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</si>
  <si>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</si>
  <si>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</si>
  <si>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</si>
  <si>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</si>
  <si>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</si>
  <si>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</si>
  <si>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</si>
  <si>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</si>
  <si>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</si>
  <si>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</si>
  <si>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</si>
  <si>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</si>
  <si>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</si>
  <si>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</si>
  <si>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</si>
  <si>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</si>
  <si>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</si>
  <si>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</si>
  <si>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</si>
  <si>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</si>
  <si>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</si>
  <si>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</si>
  <si>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</si>
  <si>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</si>
  <si>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</si>
  <si>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</si>
  <si>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</si>
  <si>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</si>
  <si>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</si>
  <si>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</si>
  <si>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</si>
  <si>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</si>
  <si>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</si>
  <si>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</si>
  <si>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</si>
  <si>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</si>
  <si>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</si>
  <si>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</si>
  <si>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</si>
  <si>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</si>
  <si>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</si>
  <si>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</si>
  <si>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</si>
  <si>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</si>
  <si>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</si>
  <si>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</si>
  <si>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</si>
  <si>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</si>
  <si>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</si>
  <si>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</si>
  <si>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</si>
  <si>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</si>
  <si>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</si>
  <si>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</si>
  <si>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</si>
  <si>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</si>
  <si>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</si>
  <si>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</si>
  <si>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</si>
  <si>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</si>
  <si>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</si>
  <si>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</si>
  <si>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</si>
  <si>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</si>
  <si>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</si>
  <si>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</si>
  <si>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</si>
  <si>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</si>
  <si>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</si>
  <si>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</si>
  <si>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</si>
  <si>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</si>
  <si>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</si>
  <si>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</si>
  <si>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</si>
  <si>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</si>
  <si>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</si>
  <si>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</si>
  <si>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</si>
  <si>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</si>
  <si>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</si>
  <si>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</si>
  <si>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</si>
  <si>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</si>
  <si>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</si>
  <si>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</si>
  <si>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</si>
  <si>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</si>
  <si>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</si>
  <si>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</si>
  <si>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</si>
  <si>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</si>
  <si>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</si>
  <si>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</si>
  <si>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</si>
  <si>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</si>
  <si>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</si>
  <si>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</si>
  <si>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</si>
  <si>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</si>
  <si>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</si>
  <si>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</si>
  <si>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</si>
  <si>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</si>
  <si>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</si>
  <si>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</si>
  <si>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</si>
  <si>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</si>
  <si>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</si>
  <si>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</si>
  <si>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</si>
  <si>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</si>
  <si>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</si>
  <si>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</si>
  <si>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</si>
  <si>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</si>
  <si>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</si>
  <si>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</si>
  <si>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</si>
  <si>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</si>
  <si>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</si>
  <si>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</si>
  <si>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</si>
  <si>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</si>
  <si>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</si>
  <si>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</si>
  <si>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</si>
  <si>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</si>
  <si>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</si>
  <si>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</si>
  <si>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</si>
  <si>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</si>
  <si>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</si>
  <si>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</si>
  <si>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</si>
  <si>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</si>
  <si>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</si>
  <si>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</si>
  <si>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</si>
  <si>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</si>
  <si>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</si>
  <si>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</si>
  <si>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</si>
  <si>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</si>
  <si>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</si>
  <si>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</si>
  <si>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</si>
  <si>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</si>
  <si>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</si>
  <si>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</si>
  <si>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</si>
  <si>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</si>
  <si>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</si>
  <si>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</si>
  <si>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</si>
  <si>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</si>
  <si>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</si>
  <si>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</si>
  <si>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</si>
  <si>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</si>
  <si>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</si>
  <si>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</si>
  <si>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</si>
  <si>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</si>
  <si>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</si>
  <si>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</si>
  <si>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</si>
  <si>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</si>
  <si>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</si>
  <si>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</si>
  <si>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</si>
  <si>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</si>
  <si>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</si>
  <si>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</si>
  <si>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</si>
  <si>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</si>
  <si>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</si>
  <si>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</si>
  <si>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</si>
  <si>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</si>
  <si>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</si>
  <si>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</si>
  <si>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</si>
  <si>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</si>
  <si>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</si>
  <si>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</si>
  <si>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</si>
  <si>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</si>
  <si>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</si>
  <si>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</si>
  <si>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</si>
  <si>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</si>
  <si>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</si>
  <si>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</si>
  <si>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</si>
  <si>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</si>
  <si>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</si>
  <si>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</si>
  <si>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</si>
  <si>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</si>
  <si>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</si>
  <si>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</si>
  <si>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</si>
  <si>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</si>
  <si>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</si>
  <si>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</si>
  <si>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</si>
  <si>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</si>
  <si>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</si>
  <si>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</si>
  <si>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</si>
  <si>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</si>
  <si>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</si>
  <si>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</si>
  <si>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</si>
  <si>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</si>
  <si>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</si>
  <si>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</si>
  <si>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</si>
  <si>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</si>
  <si>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</si>
  <si>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</si>
  <si>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</si>
  <si>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</si>
  <si>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</si>
  <si>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</si>
  <si>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</si>
  <si>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</si>
  <si>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</si>
  <si>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</si>
  <si>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</si>
  <si>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</si>
  <si>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</si>
  <si>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</si>
  <si>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</si>
  <si>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</si>
  <si>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</si>
  <si>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</si>
  <si>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</si>
  <si>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</si>
  <si>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</si>
  <si>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</si>
  <si>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</si>
  <si>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</si>
  <si>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</si>
  <si>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</si>
  <si>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</si>
  <si>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</si>
  <si>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</si>
  <si>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</si>
  <si>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</si>
  <si>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</si>
  <si>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</si>
  <si>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</si>
  <si>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</si>
  <si>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</si>
  <si>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</si>
  <si>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</si>
  <si>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</si>
  <si>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</si>
  <si>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</si>
  <si>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</si>
  <si>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</si>
  <si>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</si>
  <si>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</si>
  <si>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</si>
  <si>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</si>
  <si>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</si>
  <si>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</si>
  <si>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</si>
  <si>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</si>
  <si>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</si>
  <si>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</si>
  <si>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</si>
  <si>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</si>
  <si>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</si>
  <si>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</si>
  <si>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</si>
  <si>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</si>
  <si>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</si>
  <si>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</si>
  <si>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</si>
  <si>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</si>
  <si>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</si>
  <si>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</si>
  <si>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</si>
  <si>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</si>
  <si>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</si>
  <si>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</si>
  <si>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</si>
  <si>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</si>
  <si>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</si>
  <si>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</si>
  <si>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</si>
  <si>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</si>
  <si>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</si>
  <si>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</si>
  <si>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</si>
  <si>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</si>
  <si>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</si>
  <si>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</si>
  <si>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</si>
  <si>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</si>
  <si>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</si>
  <si>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</si>
  <si>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</si>
  <si>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</si>
  <si>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</si>
  <si>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</si>
  <si>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</si>
  <si>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</si>
  <si>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</si>
  <si>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</si>
  <si>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</si>
  <si>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</si>
  <si>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</si>
  <si>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</si>
  <si>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</si>
  <si>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</si>
  <si>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</si>
  <si>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</si>
  <si>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</si>
  <si>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</si>
  <si>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</si>
  <si>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</si>
  <si>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</si>
  <si>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</si>
  <si>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</si>
  <si>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</si>
  <si>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</si>
  <si>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</si>
  <si>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</si>
  <si>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</si>
  <si>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</si>
  <si>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</si>
  <si>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</si>
  <si>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</si>
  <si>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</si>
  <si>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</si>
  <si>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</si>
  <si>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</si>
  <si>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</si>
  <si>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</si>
  <si>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</si>
  <si>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</si>
  <si>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</si>
  <si>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</si>
  <si>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</si>
  <si>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</si>
  <si>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</si>
  <si>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</si>
  <si>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</si>
  <si>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</si>
  <si>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</si>
  <si>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</si>
  <si>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</si>
  <si>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</si>
  <si>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</si>
  <si>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</si>
  <si>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</si>
  <si>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</si>
  <si>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</si>
  <si>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</si>
  <si>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</si>
  <si>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</si>
  <si>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</si>
  <si>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</si>
  <si>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</si>
  <si>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</si>
  <si>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</si>
  <si>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</si>
  <si>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</si>
  <si>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</si>
  <si>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</si>
  <si>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</si>
  <si>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</si>
  <si>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</si>
  <si>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</si>
  <si>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</si>
  <si>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</si>
  <si>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</si>
  <si>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</si>
  <si>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</si>
  <si>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</si>
  <si>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</si>
  <si>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</si>
  <si>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</si>
  <si>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</si>
  <si>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</si>
  <si>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</si>
  <si>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</si>
  <si>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</si>
  <si>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</si>
  <si>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</si>
  <si>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</si>
  <si>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</si>
  <si>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</si>
  <si>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</si>
  <si>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</si>
  <si>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</si>
  <si>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</si>
  <si>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</si>
  <si>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</si>
  <si>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</si>
  <si>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</si>
  <si>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</si>
  <si>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</si>
  <si>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</si>
  <si>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</si>
  <si>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</si>
  <si>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</si>
  <si>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</si>
  <si>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</si>
  <si>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</si>
  <si>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</si>
  <si>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</si>
  <si>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</si>
  <si>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</si>
  <si>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</si>
  <si>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</si>
  <si>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</si>
  <si>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</si>
  <si>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</si>
  <si>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</si>
  <si>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</si>
  <si>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</si>
  <si>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</si>
  <si>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</si>
  <si>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</si>
  <si>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</si>
  <si>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</si>
  <si>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</si>
  <si>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</si>
  <si>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</si>
  <si>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</si>
  <si>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</si>
  <si>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</si>
  <si>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</si>
  <si>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</si>
  <si>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</si>
  <si>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</si>
  <si>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</si>
  <si>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</si>
  <si>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</si>
  <si>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</si>
  <si>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</si>
  <si>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</si>
  <si>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</si>
  <si>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</si>
  <si>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</si>
  <si>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</si>
  <si>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</si>
  <si>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</si>
  <si>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</si>
  <si>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</si>
  <si>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</si>
  <si>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</si>
  <si>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</si>
  <si>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</si>
  <si>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</si>
  <si>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</si>
  <si>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</si>
  <si>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</si>
  <si>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</si>
  <si>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</si>
  <si>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</si>
  <si>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</si>
  <si>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</si>
  <si>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</si>
  <si>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</si>
  <si>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</si>
  <si>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</si>
  <si>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</si>
  <si>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</si>
  <si>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</si>
  <si>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</si>
  <si>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</si>
  <si>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</si>
  <si>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</si>
  <si>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</si>
  <si>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</si>
  <si>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</si>
  <si>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</si>
  <si>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</si>
  <si>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</si>
  <si>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</si>
  <si>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</si>
  <si>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</si>
  <si>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</si>
  <si>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</si>
  <si>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</si>
  <si>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</si>
  <si>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</si>
  <si>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</si>
  <si>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</si>
  <si>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</si>
  <si>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</si>
  <si>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</si>
  <si>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</si>
  <si>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</si>
  <si>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</si>
  <si>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</si>
  <si>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</si>
  <si>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</si>
  <si>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</si>
  <si>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</si>
  <si>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</si>
  <si>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</si>
  <si>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</si>
  <si>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</si>
  <si>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</si>
  <si>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</si>
  <si>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</si>
  <si>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</si>
  <si>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</si>
  <si>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</si>
  <si>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</si>
  <si>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</si>
  <si>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</si>
  <si>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</si>
  <si>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</si>
  <si>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</si>
  <si>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</si>
  <si>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</si>
  <si>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</si>
  <si>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</si>
  <si>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</si>
  <si>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</si>
  <si>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</si>
  <si>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</si>
  <si>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</si>
  <si>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</si>
  <si>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</si>
  <si>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</si>
  <si>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</si>
  <si>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</si>
  <si>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</si>
  <si>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</si>
  <si>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</si>
  <si>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</si>
  <si>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</si>
  <si>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</si>
  <si>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</si>
  <si>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</si>
  <si>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</si>
  <si>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</si>
  <si>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</si>
  <si>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</si>
  <si>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</si>
  <si>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</si>
  <si>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</si>
  <si>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</si>
  <si>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</si>
  <si>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</si>
  <si>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</si>
  <si>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</si>
  <si>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</si>
  <si>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</si>
  <si>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</si>
  <si>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</si>
  <si>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</si>
  <si>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</si>
  <si>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</si>
  <si>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</si>
  <si>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</si>
  <si>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</si>
  <si>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</si>
  <si>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</si>
  <si>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</si>
  <si>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</si>
  <si>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</si>
  <si>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</si>
  <si>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</si>
  <si>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</si>
  <si>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</si>
  <si>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</si>
  <si>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</si>
  <si>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</si>
  <si>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</si>
  <si>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</si>
  <si>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</si>
  <si>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</si>
  <si>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</si>
  <si>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</si>
  <si>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</si>
  <si>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</si>
  <si>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</si>
  <si>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</si>
  <si>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</si>
  <si>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</si>
  <si>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</si>
  <si>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</si>
  <si>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</si>
  <si>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</si>
  <si>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</si>
  <si>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</si>
  <si>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</si>
  <si>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</si>
  <si>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</si>
  <si>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</si>
  <si>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</si>
  <si>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</si>
  <si>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</si>
  <si>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</si>
  <si>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</si>
  <si>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</si>
  <si>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</si>
  <si>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</si>
  <si>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</si>
  <si>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</si>
  <si>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</si>
  <si>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</si>
  <si>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</si>
  <si>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</si>
  <si>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</si>
  <si>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</si>
  <si>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</si>
  <si>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</si>
  <si>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</si>
  <si>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</si>
  <si>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</si>
  <si>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</si>
  <si>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</si>
  <si>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</si>
  <si>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</si>
  <si>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</si>
  <si>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</si>
  <si>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</si>
  <si>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</si>
  <si>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</si>
  <si>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</si>
  <si>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</si>
  <si>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</si>
  <si>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</si>
  <si>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</si>
  <si>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</si>
  <si>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</si>
  <si>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</si>
  <si>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</si>
  <si>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</si>
  <si>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</si>
  <si>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</si>
  <si>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</si>
  <si>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</si>
  <si>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</si>
  <si>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</si>
  <si>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</si>
  <si>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</si>
  <si>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</si>
  <si>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</si>
  <si>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</si>
  <si>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</si>
  <si>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</si>
  <si>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</si>
  <si>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</si>
  <si>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</si>
  <si>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</si>
  <si>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</si>
  <si>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</si>
  <si>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</si>
  <si>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</si>
  <si>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</si>
  <si>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</si>
  <si>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</si>
  <si>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</si>
  <si>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</si>
  <si>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</si>
  <si>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</si>
  <si>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</si>
  <si>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</si>
  <si>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</si>
  <si>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</si>
  <si>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</si>
  <si>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</si>
  <si>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</si>
  <si>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</si>
  <si>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</si>
  <si>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</si>
  <si>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</si>
  <si>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</si>
  <si>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</si>
  <si>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</si>
  <si>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</si>
  <si>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</si>
  <si>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</si>
  <si>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</si>
  <si>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</si>
  <si>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</si>
  <si>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</si>
  <si>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</si>
  <si>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</si>
  <si>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</si>
  <si>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</si>
  <si>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</si>
  <si>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</si>
  <si>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</si>
  <si>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</si>
  <si>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</si>
  <si>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</si>
  <si>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</si>
  <si>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</si>
  <si>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</si>
  <si>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</si>
  <si>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</si>
  <si>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</si>
  <si>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</si>
  <si>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</si>
  <si>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</si>
  <si>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</si>
  <si>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</si>
  <si>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</si>
  <si>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</si>
  <si>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</si>
  <si>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</si>
  <si>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</si>
  <si>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</si>
  <si>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</si>
  <si>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</si>
  <si>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</si>
  <si>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</si>
  <si>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</si>
  <si>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</si>
  <si>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</si>
  <si>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</si>
  <si>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</si>
  <si>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</si>
  <si>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</si>
  <si>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</si>
  <si>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</si>
  <si>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</si>
  <si>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</si>
  <si>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</si>
  <si>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</si>
  <si>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</si>
  <si>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</si>
  <si>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</si>
  <si>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</si>
  <si>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</si>
  <si>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</si>
  <si>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</si>
  <si>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</si>
  <si>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</si>
  <si>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</si>
  <si>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</si>
  <si>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</si>
  <si>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</si>
  <si>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</si>
  <si>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</si>
  <si>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</si>
  <si>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</si>
  <si>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www.lawnsidenj.org</t>
  </si>
  <si>
    <t>856-573-6200</t>
  </si>
  <si>
    <t>4 Dr. Martin Luther King, Jr., Road</t>
  </si>
  <si>
    <t>08045</t>
  </si>
  <si>
    <t>MARY ANN</t>
  </si>
  <si>
    <t>WARDLOW</t>
  </si>
  <si>
    <t>earmar30@comcast.com</t>
  </si>
  <si>
    <t>ANGELIQUE</t>
  </si>
  <si>
    <t>RANKINS</t>
  </si>
  <si>
    <t>a.rankins@lawnside.net</t>
  </si>
  <si>
    <t>JOHN</t>
  </si>
  <si>
    <t>A</t>
  </si>
  <si>
    <t>BRUNO, JR.</t>
  </si>
  <si>
    <t>j.bruno@lawnside.net</t>
  </si>
  <si>
    <t>MARSHAREE</t>
  </si>
  <si>
    <t>WRIGHT</t>
  </si>
  <si>
    <t>NICK</t>
  </si>
  <si>
    <t>PETRONI</t>
  </si>
  <si>
    <t>m.wright@lawnside.net</t>
  </si>
  <si>
    <t>nlp@petroni.com</t>
  </si>
  <si>
    <t>ROBERT</t>
  </si>
  <si>
    <t>STEVE</t>
  </si>
  <si>
    <t>ERIC</t>
  </si>
  <si>
    <t>RHONDA</t>
  </si>
  <si>
    <t>RONALD</t>
  </si>
  <si>
    <t>DAWN</t>
  </si>
  <si>
    <t>LEE</t>
  </si>
  <si>
    <t>POLLARD</t>
  </si>
  <si>
    <t>WILCOX, SR.</t>
  </si>
  <si>
    <t>WARDLOW-HURLEY</t>
  </si>
  <si>
    <t>DE ABREU</t>
  </si>
  <si>
    <t>WRIGHT-MCLEOD</t>
  </si>
  <si>
    <t>SEWER</t>
  </si>
  <si>
    <t>Sewer</t>
  </si>
  <si>
    <t>NONE</t>
  </si>
  <si>
    <t>A2</t>
  </si>
  <si>
    <t>Borough of Bellmawr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</si>
</sst>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3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0" fontId="61" fillId="0" borderId="0" xfId="0" applyFont="1" applyAlignment="1" applyProtection="1">
      <alignment horizontal="center"/>
    </xf>
    <xf numFmtId="0" fontId="57" fillId="5" borderId="102" xfId="11" applyFont="1" applyFill="1" applyBorder="1" applyAlignment="1" applyProtection="1">
      <alignment horizontal="left"/>
      <protection locked="0"/>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cellStyle name="Currency 3" xfId="9"/>
    <cellStyle name="Hyperlink" xfId="11" builtinId="8"/>
    <cellStyle name="Normal" xfId="0" builtinId="0"/>
    <cellStyle name="Normal 2" xfId="5"/>
    <cellStyle name="Normal_Analysis of CompAbsence" xfId="7"/>
    <cellStyle name="Normal_FY 05 Sheet 1 &amp; 2 Signature Pgs" xfId="4"/>
    <cellStyle name="Normal_FY 05 Sheet 3 CAP Calc &amp; Sum" xfId="3"/>
    <cellStyle name="Normal_FY 05 Sheet 37 &amp; 38 Assessment pages" xfId="8"/>
    <cellStyle name="Normal_SHTACAP"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5" fmlaLink="$K$5" fmlaRange="muni!$A$1:$B$587" sel="159" val="152"/>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371475</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28575</xdr:rowOff>
        </xdr:from>
        <xdr:to>
          <xdr:col>11</xdr:col>
          <xdr:colOff>9525</xdr:colOff>
          <xdr:row>9</xdr:row>
          <xdr:rowOff>219075</xdr:rowOff>
        </xdr:to>
        <xdr:sp macro="" textlink="">
          <xdr:nvSpPr>
            <xdr:cNvPr id="1028" name="Button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1362075</xdr:colOff>
          <xdr:row>35</xdr:row>
          <xdr:rowOff>180975</xdr:rowOff>
        </xdr:from>
        <xdr:to>
          <xdr:col>13</xdr:col>
          <xdr:colOff>19050</xdr:colOff>
          <xdr:row>37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28575</xdr:colOff>
          <xdr:row>4</xdr:row>
          <xdr:rowOff>47625</xdr:rowOff>
        </xdr:from>
        <xdr:to>
          <xdr:col>16</xdr:col>
          <xdr:colOff>1057275</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52"/>
  <sheetViews>
    <sheetView topLeftCell="J1" zoomScaleNormal="100" workbookViewId="0">
      <selection activeCell="N26" sqref="N25:Q26"/>
    </sheetView>
  </sheetViews>
  <sheetFormatPr defaultRowHeight="15"/>
  <cols>
    <col min="1" max="1" width="8.7109375" hidden="1" customWidth="1"/>
    <col min="2" max="2" width="4.42578125" hidden="1" customWidth="1"/>
    <col min="3" max="3" width="3.5703125" hidden="1" customWidth="1"/>
    <col min="4" max="4" width="11.42578125" hidden="1" customWidth="1"/>
    <col min="5" max="5" width="6.140625" hidden="1" customWidth="1"/>
    <col min="6" max="6" width="8" hidden="1" customWidth="1"/>
    <col min="7" max="7" width="6.85546875" hidden="1" customWidth="1"/>
    <col min="8" max="8" width="10.7109375" hidden="1" customWidth="1"/>
    <col min="9" max="9" width="9.85546875" hidden="1" customWidth="1"/>
    <col min="10" max="10" width="20.140625" customWidth="1"/>
    <col min="11" max="11" width="16.28515625" customWidth="1"/>
    <col min="12" max="12" width="23.42578125" customWidth="1"/>
    <col min="13" max="13" width="15.7109375" customWidth="1"/>
    <col min="15" max="15" width="5.140625" customWidth="1"/>
    <col min="16" max="16" width="4.5703125" customWidth="1"/>
    <col min="17" max="17" width="16.28515625" customWidth="1"/>
    <col min="18" max="18" width="2.5703125" customWidth="1"/>
    <col min="19" max="19" width="45.7109375" customWidth="1"/>
  </cols>
  <sheetData>
    <row r="1" spans="1:23" ht="25.5">
      <c r="J1" s="681" t="s">
        <v>2272</v>
      </c>
      <c r="K1" s="681"/>
      <c r="L1" s="681"/>
      <c r="M1" s="681"/>
      <c r="N1" s="681"/>
      <c r="O1" s="681"/>
      <c r="P1" s="681"/>
      <c r="Q1" s="681"/>
    </row>
    <row r="2" spans="1:23" ht="25.5">
      <c r="J2" s="681" t="s">
        <v>2273</v>
      </c>
      <c r="K2" s="681"/>
      <c r="L2" s="681"/>
      <c r="M2" s="681"/>
      <c r="N2" s="681"/>
      <c r="O2" s="681"/>
      <c r="P2" s="681"/>
      <c r="Q2" s="681"/>
    </row>
    <row r="3" spans="1:23" ht="20.25" customHeight="1">
      <c r="J3" s="563"/>
      <c r="K3" s="563"/>
      <c r="L3" s="563"/>
      <c r="M3" s="563"/>
      <c r="N3" s="563"/>
      <c r="O3" s="563"/>
      <c r="P3" s="563"/>
      <c r="Q3" s="563"/>
    </row>
    <row r="4" spans="1:23" ht="21.75" customHeight="1">
      <c r="A4" s="491" t="str">
        <f>INDEX(muni!A1:A587,K5,1)</f>
        <v>0421 Lawnside Borough - County of Camden</v>
      </c>
      <c r="B4" s="491">
        <f>ROW()</f>
        <v>4</v>
      </c>
      <c r="C4" s="491"/>
      <c r="D4" s="491">
        <f>K4</f>
        <v>2020</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JOHN BRUNO, JR. -Chief Financial Officer of 0421 Lawnside Borough - County of Camden,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A  -Chief Financial Officer of 4, Certify that all information included in this email is accurate.</v>
      </c>
      <c r="J4" s="564" t="s">
        <v>2271</v>
      </c>
      <c r="K4" s="560">
        <v>2020</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0421</v>
      </c>
      <c r="D5" s="491">
        <f>K4</f>
        <v>2020</v>
      </c>
      <c r="E5" s="491" t="s">
        <v>2031</v>
      </c>
      <c r="F5" s="493" t="s">
        <v>2032</v>
      </c>
      <c r="G5" s="491" t="s">
        <v>2037</v>
      </c>
      <c r="H5" s="492" t="str">
        <f>"mailto:ufb.lgs@dca.nj.gov?subject="&amp;N6&amp;"&amp;body= "&amp;J18&amp;" "&amp;L18&amp;" - CFO, Certify that all information in this email is accurate.%0A%0AAttached "&amp;N6&amp;"."</f>
        <v>mailto:ufb.lgs@dca.nj.gov?subject=0421_fba_2020.xlsm &amp;body= JOHN BRUNO, JR. - CFO, Certify that all information in this email is accurate.%0A%0AAttached 0421_fba_2020.xlsm .</v>
      </c>
      <c r="I5" s="493" t="s">
        <v>2300</v>
      </c>
      <c r="J5" s="570" t="s">
        <v>293</v>
      </c>
      <c r="K5" s="671">
        <v>159</v>
      </c>
      <c r="L5" s="671"/>
      <c r="M5" s="671"/>
      <c r="N5" s="571"/>
      <c r="O5" s="563"/>
      <c r="P5" s="563"/>
      <c r="Q5" s="624">
        <v>2</v>
      </c>
      <c r="S5" s="432"/>
      <c r="T5" s="432"/>
      <c r="U5" s="432"/>
      <c r="V5" s="432"/>
      <c r="W5" s="432"/>
    </row>
    <row r="6" spans="1:23" ht="15" customHeight="1">
      <c r="A6" s="491" t="str">
        <f t="shared" ca="1" si="0"/>
        <v>Cover Page</v>
      </c>
      <c r="B6" s="491">
        <f>ROW()</f>
        <v>6</v>
      </c>
      <c r="C6" s="491" t="str">
        <f>K6</f>
        <v>0421</v>
      </c>
      <c r="D6" s="491">
        <f>K4</f>
        <v>2020</v>
      </c>
      <c r="E6" s="491" t="s">
        <v>2031</v>
      </c>
      <c r="F6" s="493" t="s">
        <v>2032</v>
      </c>
      <c r="G6" s="491" t="s">
        <v>2053</v>
      </c>
      <c r="H6" s="505">
        <f>M38</f>
        <v>0</v>
      </c>
      <c r="I6" s="551" t="str">
        <f>J18&amp;" "&amp;L18&amp;" - CFO, 
The attached UFB, File "&amp;N6&amp;", has been received by the Division Local Government Services.
Thank you for your submission."</f>
        <v>JOHN BRUNO, JR. - CFO, 
The attached UFB, File 0421_fba_2020.xlsm , has been received by the Division Local Government Services.
Thank you for your submission.</v>
      </c>
      <c r="J6" s="573" t="s">
        <v>2064</v>
      </c>
      <c r="K6" s="593" t="str">
        <f>INDEX(muni!B1:B589,K5,1)</f>
        <v>0421</v>
      </c>
      <c r="L6" s="574"/>
      <c r="M6" s="571" t="s">
        <v>2039</v>
      </c>
      <c r="N6" s="574" t="str">
        <f>IF(Q5=1,K6&amp;"_fbi_"&amp;D6&amp;".xlsm ",K6&amp;"_fba_"&amp;D6&amp;".xlsm ")</f>
        <v xml:space="preserve">0421_fba_2020.xlsm </v>
      </c>
      <c r="O6" s="574"/>
      <c r="P6" s="574"/>
      <c r="Q6" s="574"/>
      <c r="S6" s="550"/>
      <c r="T6" s="432"/>
      <c r="U6" s="432"/>
      <c r="V6" s="432"/>
      <c r="W6" s="432"/>
    </row>
    <row r="7" spans="1:23" ht="15.75" customHeight="1">
      <c r="A7" s="491" t="str">
        <f t="shared" ca="1" si="0"/>
        <v>Cover Page</v>
      </c>
      <c r="B7" s="491">
        <f>ROW()</f>
        <v>7</v>
      </c>
      <c r="C7" s="491" t="str">
        <f>K6</f>
        <v>0421</v>
      </c>
      <c r="D7" s="491">
        <f>K4</f>
        <v>2020</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72" t="s">
        <v>2304</v>
      </c>
      <c r="M7" s="673"/>
      <c r="N7" s="673"/>
      <c r="O7" s="673"/>
      <c r="P7" s="673"/>
      <c r="Q7" s="674"/>
      <c r="T7" s="432"/>
      <c r="U7" s="432"/>
      <c r="V7" s="432"/>
      <c r="W7" s="432"/>
    </row>
    <row r="8" spans="1:23" ht="15.75">
      <c r="A8" s="491" t="str">
        <f t="shared" ca="1" si="0"/>
        <v>Cover Page</v>
      </c>
      <c r="B8" s="491">
        <f>ROW()</f>
        <v>8</v>
      </c>
      <c r="C8" s="491" t="str">
        <f>K6</f>
        <v>0421</v>
      </c>
      <c r="D8" s="491">
        <f>K4</f>
        <v>2020</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2305</v>
      </c>
      <c r="N8" s="577"/>
      <c r="O8" s="577"/>
      <c r="P8" s="577"/>
      <c r="Q8" s="577"/>
      <c r="T8" s="432"/>
      <c r="U8" s="432"/>
      <c r="V8" s="432"/>
      <c r="W8" s="432"/>
    </row>
    <row r="9" spans="1:23" ht="15.75">
      <c r="A9" s="491" t="str">
        <f t="shared" ca="1" si="0"/>
        <v>Cover Page</v>
      </c>
      <c r="B9" s="491">
        <f>ROW()</f>
        <v>9</v>
      </c>
      <c r="C9" s="491" t="str">
        <f>K6</f>
        <v>0421</v>
      </c>
      <c r="D9" s="491">
        <f>K4</f>
        <v>2020</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75" t="s">
        <v>2306</v>
      </c>
      <c r="N9" s="673"/>
      <c r="O9" s="673"/>
      <c r="P9" s="673"/>
      <c r="Q9" s="674"/>
      <c r="T9" s="432"/>
      <c r="U9" s="432"/>
      <c r="V9" s="432"/>
      <c r="W9" s="432"/>
    </row>
    <row r="10" spans="1:23" ht="18.75">
      <c r="A10" s="491" t="str">
        <f t="shared" ca="1" si="0"/>
        <v>Cover Page</v>
      </c>
      <c r="B10" s="491">
        <f>ROW()</f>
        <v>10</v>
      </c>
      <c r="C10" s="491" t="str">
        <f>K6</f>
        <v>0421</v>
      </c>
      <c r="D10" s="491">
        <f>K4</f>
        <v>2020</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75"/>
      <c r="N10" s="673"/>
      <c r="O10" s="673"/>
      <c r="P10" s="673"/>
      <c r="Q10" s="674"/>
      <c r="T10" s="432"/>
      <c r="U10" s="432"/>
      <c r="V10" s="432"/>
      <c r="W10" s="432"/>
    </row>
    <row r="11" spans="1:23" ht="15.75">
      <c r="A11" s="491" t="str">
        <f t="shared" ca="1" si="0"/>
        <v>Cover Page</v>
      </c>
      <c r="B11" s="491">
        <f>ROW()</f>
        <v>11</v>
      </c>
      <c r="C11" s="491" t="str">
        <f>K6</f>
        <v>0421</v>
      </c>
      <c r="D11" s="491">
        <f>K4</f>
        <v>2020</v>
      </c>
      <c r="E11" s="491" t="s">
        <v>2031</v>
      </c>
      <c r="F11" s="493" t="s">
        <v>2032</v>
      </c>
      <c r="G11" s="491" t="s">
        <v>2058</v>
      </c>
      <c r="H11" s="505">
        <f>M38</f>
        <v>0</v>
      </c>
      <c r="I11" s="552" t="str">
        <f>I6&amp;I8</f>
        <v>JOHN BRUNO, JR. - CFO, 
The attached UFB, File 0421_fba_2020.xlsm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79" t="str">
        <f>HYPERLINK(H5,"Email the UFB if not using Outlook")</f>
        <v>Email the UFB if not using Outlook</v>
      </c>
      <c r="K11" s="680"/>
      <c r="L11" s="579" t="s">
        <v>2298</v>
      </c>
      <c r="M11" s="595" t="s">
        <v>788</v>
      </c>
      <c r="N11" s="580" t="s">
        <v>2060</v>
      </c>
      <c r="O11" s="581" t="s">
        <v>2059</v>
      </c>
      <c r="P11" s="582" t="s">
        <v>2061</v>
      </c>
      <c r="Q11" s="598" t="s">
        <v>2307</v>
      </c>
      <c r="T11" s="432"/>
      <c r="U11" s="432"/>
      <c r="V11" s="432"/>
      <c r="W11" s="432"/>
    </row>
    <row r="12" spans="1:23" ht="15.75">
      <c r="A12" s="491" t="str">
        <f t="shared" ca="1" si="0"/>
        <v>Cover Page</v>
      </c>
      <c r="B12" s="491">
        <f>ROW()</f>
        <v>12</v>
      </c>
      <c r="C12" s="491" t="str">
        <f>K6</f>
        <v>0421</v>
      </c>
      <c r="D12" s="491">
        <f>K4</f>
        <v>2020</v>
      </c>
      <c r="E12" s="491" t="s">
        <v>2031</v>
      </c>
      <c r="F12" s="491" t="s">
        <v>2033</v>
      </c>
      <c r="G12" s="491" t="s">
        <v>121</v>
      </c>
      <c r="H12" s="505">
        <f>M38</f>
        <v>0</v>
      </c>
      <c r="I12" s="552" t="str">
        <f>I6&amp;I9</f>
        <v>JOHN BRUNO, JR. - CFO, 
The attached UFB, File 0421_fba_2020.xlsm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75">
      <c r="A13" s="491" t="str">
        <f t="shared" ca="1" si="0"/>
        <v>Cover Page</v>
      </c>
      <c r="B13" s="491">
        <f>ROW()</f>
        <v>13</v>
      </c>
      <c r="C13" s="491" t="str">
        <f>K6</f>
        <v>0421</v>
      </c>
      <c r="D13" s="491">
        <f>K4</f>
        <v>2020</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0421</v>
      </c>
      <c r="D14" s="491">
        <f>K4</f>
        <v>2020</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2308</v>
      </c>
      <c r="K14" s="644"/>
      <c r="L14" s="644" t="s">
        <v>2309</v>
      </c>
      <c r="M14" s="607">
        <v>44926</v>
      </c>
      <c r="N14" s="676" t="s">
        <v>2310</v>
      </c>
      <c r="O14" s="677"/>
      <c r="P14" s="677"/>
      <c r="Q14" s="678"/>
      <c r="T14" s="453"/>
      <c r="U14" s="432"/>
      <c r="V14" s="432"/>
      <c r="W14" s="432"/>
    </row>
    <row r="15" spans="1:23" ht="15.75">
      <c r="A15" s="491" t="str">
        <f t="shared" ca="1" si="0"/>
        <v>Cover Page</v>
      </c>
      <c r="B15" s="491">
        <f>ROW()</f>
        <v>15</v>
      </c>
      <c r="C15" s="491" t="str">
        <f>K6</f>
        <v>0421</v>
      </c>
      <c r="D15" s="491">
        <f>K4</f>
        <v>2020</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0421</v>
      </c>
      <c r="D16" s="491">
        <f>K4</f>
        <v>2020</v>
      </c>
      <c r="E16" s="491" t="s">
        <v>2031</v>
      </c>
      <c r="F16" s="491" t="s">
        <v>2033</v>
      </c>
      <c r="G16" s="491" t="s">
        <v>2034</v>
      </c>
      <c r="H16" s="505">
        <f>M38</f>
        <v>0</v>
      </c>
      <c r="I16" s="444"/>
      <c r="J16" s="645" t="s">
        <v>2311</v>
      </c>
      <c r="K16" s="665"/>
      <c r="L16" s="665" t="s">
        <v>2312</v>
      </c>
      <c r="M16" s="608"/>
      <c r="N16" s="676" t="s">
        <v>2313</v>
      </c>
      <c r="O16" s="677"/>
      <c r="P16" s="677"/>
      <c r="Q16" s="678"/>
      <c r="T16" s="453"/>
      <c r="U16" s="432"/>
      <c r="V16" s="432"/>
      <c r="W16" s="432"/>
    </row>
    <row r="17" spans="1:23" ht="15.75">
      <c r="A17" s="491" t="str">
        <f t="shared" ca="1" si="0"/>
        <v>Cover Page</v>
      </c>
      <c r="B17" s="491">
        <f>ROW()</f>
        <v>17</v>
      </c>
      <c r="C17" s="491" t="str">
        <f>K6</f>
        <v>0421</v>
      </c>
      <c r="D17" s="491">
        <f>K4</f>
        <v>2020</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0421</v>
      </c>
      <c r="D18" s="491">
        <f>K4</f>
        <v>2020</v>
      </c>
      <c r="E18" s="491" t="s">
        <v>2031</v>
      </c>
      <c r="F18" s="491" t="s">
        <v>2033</v>
      </c>
      <c r="G18" s="491" t="s">
        <v>315</v>
      </c>
      <c r="H18" s="505">
        <f>M38</f>
        <v>0</v>
      </c>
      <c r="I18" s="444"/>
      <c r="J18" s="645" t="s">
        <v>2314</v>
      </c>
      <c r="K18" s="665" t="s">
        <v>2315</v>
      </c>
      <c r="L18" s="665" t="s">
        <v>2316</v>
      </c>
      <c r="M18" s="608"/>
      <c r="N18" s="682" t="s">
        <v>2317</v>
      </c>
      <c r="O18" s="677"/>
      <c r="P18" s="677"/>
      <c r="Q18" s="678"/>
      <c r="T18" s="453"/>
      <c r="U18" s="432"/>
      <c r="V18" s="432"/>
      <c r="W18" s="432"/>
    </row>
    <row r="19" spans="1:23" ht="15.75">
      <c r="A19" s="491" t="str">
        <f t="shared" ca="1" si="0"/>
        <v>Cover Page</v>
      </c>
      <c r="B19" s="491">
        <f>ROW()</f>
        <v>19</v>
      </c>
      <c r="C19" s="491" t="str">
        <f>K6</f>
        <v>0421</v>
      </c>
      <c r="D19" s="491">
        <f>K4</f>
        <v>2020</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0421</v>
      </c>
      <c r="D20" s="491">
        <f>K4</f>
        <v>2020</v>
      </c>
      <c r="E20" s="491" t="s">
        <v>2031</v>
      </c>
      <c r="F20" s="491" t="s">
        <v>2033</v>
      </c>
      <c r="G20" s="491" t="s">
        <v>2035</v>
      </c>
      <c r="H20" s="505">
        <f>M38</f>
        <v>0</v>
      </c>
      <c r="I20" s="444"/>
      <c r="J20" s="645" t="s">
        <v>2318</v>
      </c>
      <c r="K20" s="644"/>
      <c r="L20" s="644" t="s">
        <v>2319</v>
      </c>
      <c r="M20" s="608"/>
      <c r="N20" s="668" t="s">
        <v>2322</v>
      </c>
      <c r="O20" s="669"/>
      <c r="P20" s="669"/>
      <c r="Q20" s="670"/>
      <c r="T20" s="453"/>
      <c r="U20" s="432"/>
      <c r="V20" s="432"/>
      <c r="W20" s="432"/>
    </row>
    <row r="21" spans="1:23" ht="15.75">
      <c r="A21" s="491" t="str">
        <f t="shared" ca="1" si="0"/>
        <v>Cover Page</v>
      </c>
      <c r="B21" s="491">
        <f>ROW()</f>
        <v>21</v>
      </c>
      <c r="C21" s="491" t="str">
        <f>K6</f>
        <v>0421</v>
      </c>
      <c r="D21" s="491">
        <f>K4</f>
        <v>2020</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0421</v>
      </c>
      <c r="D22" s="491">
        <f>K4</f>
        <v>2020</v>
      </c>
      <c r="E22" s="491" t="s">
        <v>2031</v>
      </c>
      <c r="F22" s="491" t="s">
        <v>2033</v>
      </c>
      <c r="G22" s="491" t="s">
        <v>2035</v>
      </c>
      <c r="H22" s="505">
        <f>M38</f>
        <v>0</v>
      </c>
      <c r="I22" s="444"/>
      <c r="J22" s="645" t="s">
        <v>2320</v>
      </c>
      <c r="K22" s="644"/>
      <c r="L22" s="644" t="s">
        <v>2321</v>
      </c>
      <c r="M22" s="608"/>
      <c r="N22" s="668" t="s">
        <v>2323</v>
      </c>
      <c r="O22" s="669"/>
      <c r="P22" s="669"/>
      <c r="Q22" s="670"/>
      <c r="T22" s="453"/>
      <c r="U22" s="432"/>
      <c r="V22" s="432"/>
      <c r="W22" s="432"/>
    </row>
    <row r="23" spans="1:23" ht="15.75">
      <c r="A23" s="491" t="str">
        <f t="shared" ca="1" si="0"/>
        <v>Cover Page</v>
      </c>
      <c r="B23" s="491">
        <f>ROW()</f>
        <v>23</v>
      </c>
      <c r="C23" s="491" t="str">
        <f>K6</f>
        <v>0421</v>
      </c>
      <c r="D23" s="491">
        <f>K4</f>
        <v>2020</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75">
      <c r="A24" s="491" t="str">
        <f t="shared" ca="1" si="0"/>
        <v>Cover Page</v>
      </c>
      <c r="B24" s="491">
        <f>ROW()</f>
        <v>24</v>
      </c>
      <c r="C24" s="491" t="str">
        <f>K6</f>
        <v>0421</v>
      </c>
      <c r="D24" s="491">
        <f>K4</f>
        <v>2020</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0421</v>
      </c>
      <c r="D25" s="491">
        <f>K4</f>
        <v>2020</v>
      </c>
      <c r="E25" s="491" t="s">
        <v>2031</v>
      </c>
      <c r="F25" s="491" t="s">
        <v>2033</v>
      </c>
      <c r="G25" s="491" t="s">
        <v>2042</v>
      </c>
      <c r="H25" s="505">
        <f>M38</f>
        <v>0</v>
      </c>
      <c r="I25" s="444"/>
      <c r="J25" s="596" t="s">
        <v>2324</v>
      </c>
      <c r="K25" s="597"/>
      <c r="L25" s="597" t="s">
        <v>2330</v>
      </c>
      <c r="M25" s="607">
        <v>44926</v>
      </c>
      <c r="N25" s="676"/>
      <c r="O25" s="677"/>
      <c r="P25" s="677"/>
      <c r="Q25" s="678"/>
      <c r="T25" s="453"/>
      <c r="U25" s="432"/>
      <c r="V25" s="432"/>
      <c r="W25" s="432"/>
    </row>
    <row r="26" spans="1:23" ht="15.75">
      <c r="A26" s="491" t="str">
        <f t="shared" ca="1" si="0"/>
        <v>Cover Page</v>
      </c>
      <c r="B26" s="491">
        <f>ROW()</f>
        <v>26</v>
      </c>
      <c r="C26" s="491" t="str">
        <f>K6</f>
        <v>0421</v>
      </c>
      <c r="D26" s="491">
        <f>K4</f>
        <v>2020</v>
      </c>
      <c r="E26" s="491" t="s">
        <v>2031</v>
      </c>
      <c r="F26" s="491" t="s">
        <v>2033</v>
      </c>
      <c r="G26" s="491" t="s">
        <v>2043</v>
      </c>
      <c r="H26" s="505">
        <f>M38</f>
        <v>0</v>
      </c>
      <c r="I26" s="447"/>
      <c r="J26" s="596" t="s">
        <v>2325</v>
      </c>
      <c r="K26" s="597"/>
      <c r="L26" s="597" t="s">
        <v>2331</v>
      </c>
      <c r="M26" s="612">
        <v>44926</v>
      </c>
      <c r="N26" s="676"/>
      <c r="O26" s="677"/>
      <c r="P26" s="677"/>
      <c r="Q26" s="678"/>
      <c r="T26" s="453"/>
      <c r="U26" s="432"/>
      <c r="V26" s="432"/>
      <c r="W26" s="432"/>
    </row>
    <row r="27" spans="1:23" ht="15.75">
      <c r="A27" s="491" t="str">
        <f t="shared" ca="1" si="0"/>
        <v>Cover Page</v>
      </c>
      <c r="B27" s="491">
        <f>ROW()</f>
        <v>27</v>
      </c>
      <c r="C27" s="491" t="str">
        <f>K6</f>
        <v>0421</v>
      </c>
      <c r="D27" s="491">
        <f>K4</f>
        <v>2020</v>
      </c>
      <c r="E27" s="491" t="s">
        <v>2031</v>
      </c>
      <c r="F27" s="491" t="s">
        <v>2033</v>
      </c>
      <c r="G27" s="491" t="s">
        <v>2044</v>
      </c>
      <c r="H27" s="505">
        <f>M38</f>
        <v>0</v>
      </c>
      <c r="I27" s="445"/>
      <c r="J27" s="596" t="s">
        <v>2326</v>
      </c>
      <c r="K27" s="597"/>
      <c r="L27" s="597" t="s">
        <v>2332</v>
      </c>
      <c r="M27" s="612">
        <v>44196</v>
      </c>
      <c r="N27" s="676"/>
      <c r="O27" s="677"/>
      <c r="P27" s="677"/>
      <c r="Q27" s="678"/>
      <c r="T27" s="453"/>
      <c r="U27" s="432"/>
      <c r="V27" s="432"/>
      <c r="W27" s="432"/>
    </row>
    <row r="28" spans="1:23" ht="15.75">
      <c r="A28" s="491" t="str">
        <f t="shared" ca="1" si="0"/>
        <v>Cover Page</v>
      </c>
      <c r="B28" s="491">
        <f>ROW()</f>
        <v>28</v>
      </c>
      <c r="C28" s="491" t="str">
        <f>K6</f>
        <v>0421</v>
      </c>
      <c r="D28" s="491">
        <f>K4</f>
        <v>2020</v>
      </c>
      <c r="E28" s="491" t="s">
        <v>2031</v>
      </c>
      <c r="F28" s="491" t="s">
        <v>2033</v>
      </c>
      <c r="G28" s="491" t="s">
        <v>2045</v>
      </c>
      <c r="H28" s="505">
        <f>M38</f>
        <v>0</v>
      </c>
      <c r="I28" s="446"/>
      <c r="J28" s="596" t="s">
        <v>2327</v>
      </c>
      <c r="K28" s="597"/>
      <c r="L28" s="597" t="s">
        <v>2333</v>
      </c>
      <c r="M28" s="612">
        <v>44196</v>
      </c>
      <c r="N28" s="676"/>
      <c r="O28" s="677"/>
      <c r="P28" s="677"/>
      <c r="Q28" s="678"/>
      <c r="T28" s="453"/>
      <c r="U28" s="432"/>
      <c r="V28" s="432"/>
      <c r="W28" s="432"/>
    </row>
    <row r="29" spans="1:23" ht="15.75">
      <c r="A29" s="491" t="str">
        <f t="shared" ca="1" si="0"/>
        <v>Cover Page</v>
      </c>
      <c r="B29" s="491">
        <f>ROW()</f>
        <v>29</v>
      </c>
      <c r="C29" s="491" t="str">
        <f>K6</f>
        <v>0421</v>
      </c>
      <c r="D29" s="491">
        <f>K4</f>
        <v>2020</v>
      </c>
      <c r="E29" s="491" t="s">
        <v>2031</v>
      </c>
      <c r="F29" s="491" t="s">
        <v>2033</v>
      </c>
      <c r="G29" s="491" t="s">
        <v>2046</v>
      </c>
      <c r="H29" s="505">
        <f>M38</f>
        <v>0</v>
      </c>
      <c r="I29" s="444"/>
      <c r="J29" s="596" t="s">
        <v>2328</v>
      </c>
      <c r="K29" s="597"/>
      <c r="L29" s="597" t="s">
        <v>2334</v>
      </c>
      <c r="M29" s="612">
        <v>44561</v>
      </c>
      <c r="N29" s="676"/>
      <c r="O29" s="677"/>
      <c r="P29" s="677"/>
      <c r="Q29" s="678"/>
      <c r="T29" s="453"/>
      <c r="U29" s="432"/>
      <c r="V29" s="432"/>
      <c r="W29" s="432"/>
    </row>
    <row r="30" spans="1:23" ht="15.75">
      <c r="A30" s="491" t="str">
        <f t="shared" ca="1" si="0"/>
        <v>Cover Page</v>
      </c>
      <c r="B30" s="491">
        <f>ROW()</f>
        <v>30</v>
      </c>
      <c r="C30" s="491" t="str">
        <f>K6</f>
        <v>0421</v>
      </c>
      <c r="D30" s="491">
        <f>K4</f>
        <v>2020</v>
      </c>
      <c r="E30" s="491" t="s">
        <v>2031</v>
      </c>
      <c r="F30" s="491" t="s">
        <v>2033</v>
      </c>
      <c r="G30" s="491" t="s">
        <v>2047</v>
      </c>
      <c r="H30" s="505">
        <f>M38</f>
        <v>0</v>
      </c>
      <c r="I30" s="445"/>
      <c r="J30" s="596" t="s">
        <v>2329</v>
      </c>
      <c r="K30" s="597"/>
      <c r="L30" s="597" t="s">
        <v>2335</v>
      </c>
      <c r="M30" s="612">
        <v>44561</v>
      </c>
      <c r="N30" s="676"/>
      <c r="O30" s="677"/>
      <c r="P30" s="677"/>
      <c r="Q30" s="678"/>
      <c r="T30" s="453"/>
      <c r="U30" s="432"/>
      <c r="V30" s="432"/>
      <c r="W30" s="432"/>
    </row>
    <row r="31" spans="1:23" ht="15.75">
      <c r="A31" s="491" t="str">
        <f t="shared" ca="1" si="0"/>
        <v>Cover Page</v>
      </c>
      <c r="B31" s="491">
        <f>ROW()</f>
        <v>31</v>
      </c>
      <c r="C31" s="491" t="str">
        <f>K6</f>
        <v>0421</v>
      </c>
      <c r="D31" s="491">
        <f>K4</f>
        <v>2020</v>
      </c>
      <c r="E31" s="491" t="s">
        <v>2031</v>
      </c>
      <c r="F31" s="491" t="s">
        <v>2033</v>
      </c>
      <c r="G31" s="491" t="s">
        <v>2048</v>
      </c>
      <c r="H31" s="505">
        <f>M38</f>
        <v>0</v>
      </c>
      <c r="I31" s="446"/>
      <c r="J31" s="596"/>
      <c r="K31" s="597"/>
      <c r="L31" s="597"/>
      <c r="M31" s="612"/>
      <c r="N31" s="676"/>
      <c r="O31" s="677"/>
      <c r="P31" s="677"/>
      <c r="Q31" s="678"/>
      <c r="T31" s="453"/>
      <c r="U31" s="432"/>
      <c r="V31" s="432"/>
      <c r="W31" s="432"/>
    </row>
    <row r="32" spans="1:23" ht="15.75">
      <c r="A32" s="491" t="str">
        <f t="shared" ca="1" si="0"/>
        <v>Cover Page</v>
      </c>
      <c r="B32" s="491">
        <f>ROW()</f>
        <v>32</v>
      </c>
      <c r="C32" s="491" t="str">
        <f>K6</f>
        <v>0421</v>
      </c>
      <c r="D32" s="491">
        <f>K4</f>
        <v>2020</v>
      </c>
      <c r="E32" s="491" t="s">
        <v>2031</v>
      </c>
      <c r="F32" s="491" t="s">
        <v>2033</v>
      </c>
      <c r="G32" s="491" t="s">
        <v>2049</v>
      </c>
      <c r="H32" s="505">
        <f>M38</f>
        <v>0</v>
      </c>
      <c r="I32" s="444"/>
      <c r="J32" s="596"/>
      <c r="K32" s="597"/>
      <c r="L32" s="597"/>
      <c r="M32" s="612"/>
      <c r="N32" s="676"/>
      <c r="O32" s="677"/>
      <c r="P32" s="677"/>
      <c r="Q32" s="678"/>
      <c r="T32" s="453"/>
      <c r="U32" s="432"/>
      <c r="V32" s="432"/>
      <c r="W32" s="432"/>
    </row>
    <row r="33" spans="1:24" ht="15.75">
      <c r="A33" s="491" t="str">
        <f t="shared" ca="1" si="0"/>
        <v>Cover Page</v>
      </c>
      <c r="B33" s="491">
        <f>ROW()</f>
        <v>33</v>
      </c>
      <c r="C33" s="491" t="str">
        <f>K6</f>
        <v>0421</v>
      </c>
      <c r="D33" s="491">
        <f>K4</f>
        <v>2020</v>
      </c>
      <c r="E33" s="491" t="s">
        <v>2031</v>
      </c>
      <c r="F33" s="491" t="s">
        <v>2033</v>
      </c>
      <c r="G33" s="491" t="s">
        <v>2050</v>
      </c>
      <c r="H33" s="505">
        <f>M38</f>
        <v>0</v>
      </c>
      <c r="I33" s="445"/>
      <c r="J33" s="596"/>
      <c r="K33" s="597"/>
      <c r="L33" s="597"/>
      <c r="M33" s="612"/>
      <c r="N33" s="676"/>
      <c r="O33" s="677"/>
      <c r="P33" s="677"/>
      <c r="Q33" s="678"/>
      <c r="T33" s="453"/>
      <c r="U33" s="432"/>
      <c r="V33" s="432"/>
      <c r="W33" s="432"/>
    </row>
    <row r="34" spans="1:24" ht="15.75">
      <c r="A34" s="491" t="str">
        <f t="shared" ca="1" si="0"/>
        <v>Cover Page</v>
      </c>
      <c r="B34" s="491">
        <f>ROW()</f>
        <v>34</v>
      </c>
      <c r="C34" s="491" t="str">
        <f>K6</f>
        <v>0421</v>
      </c>
      <c r="D34" s="491">
        <f>K4</f>
        <v>2020</v>
      </c>
      <c r="E34" s="491" t="s">
        <v>2031</v>
      </c>
      <c r="F34" s="491" t="s">
        <v>2033</v>
      </c>
      <c r="G34" s="491" t="s">
        <v>2051</v>
      </c>
      <c r="H34" s="505">
        <f>M38</f>
        <v>0</v>
      </c>
      <c r="I34" s="446"/>
      <c r="J34" s="596"/>
      <c r="K34" s="597"/>
      <c r="L34" s="597"/>
      <c r="M34" s="612"/>
      <c r="N34" s="676"/>
      <c r="O34" s="677"/>
      <c r="P34" s="677"/>
      <c r="Q34" s="678"/>
      <c r="R34" s="448"/>
      <c r="S34" s="453"/>
      <c r="T34" s="453"/>
      <c r="U34" s="432"/>
      <c r="V34" s="432"/>
      <c r="W34" s="432"/>
    </row>
    <row r="35" spans="1:24" ht="15.75">
      <c r="A35" s="491" t="str">
        <f t="shared" ca="1" si="0"/>
        <v>Cover Page</v>
      </c>
      <c r="B35" s="491">
        <f>ROW()</f>
        <v>35</v>
      </c>
      <c r="C35" s="491" t="str">
        <f>K6</f>
        <v>0421</v>
      </c>
      <c r="D35" s="491">
        <f>K4</f>
        <v>2020</v>
      </c>
      <c r="E35" s="491" t="s">
        <v>2031</v>
      </c>
      <c r="F35" s="491" t="s">
        <v>2033</v>
      </c>
      <c r="G35" s="491" t="s">
        <v>2052</v>
      </c>
      <c r="H35" s="505">
        <f>M38</f>
        <v>0</v>
      </c>
      <c r="I35" s="444"/>
      <c r="J35" s="596"/>
      <c r="K35" s="597"/>
      <c r="L35" s="597"/>
      <c r="M35" s="612"/>
      <c r="N35" s="676"/>
      <c r="O35" s="677"/>
      <c r="P35" s="677"/>
      <c r="Q35" s="678"/>
      <c r="R35" s="449"/>
      <c r="S35" s="453"/>
      <c r="T35" s="453"/>
      <c r="U35" s="432"/>
      <c r="V35" s="432"/>
      <c r="W35" s="432"/>
    </row>
    <row r="36" spans="1:24" ht="15.75">
      <c r="A36" s="491"/>
      <c r="B36" s="491"/>
      <c r="C36" s="491"/>
      <c r="D36" s="491">
        <f>K4</f>
        <v>2020</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0421</v>
      </c>
      <c r="D37" s="491">
        <f>K4</f>
        <v>2020</v>
      </c>
      <c r="E37" s="491" t="s">
        <v>2031</v>
      </c>
      <c r="F37" s="491" t="s">
        <v>2037</v>
      </c>
      <c r="G37" s="491" t="s">
        <v>2038</v>
      </c>
      <c r="H37" s="505">
        <f>M38</f>
        <v>0</v>
      </c>
      <c r="I37" s="507" t="str">
        <f>"s:\LGS Docs\a_1budget\"&amp;A4&amp;"\"&amp;D4&amp;"\ufb\"&amp;N6</f>
        <v xml:space="preserve">s:\LGS Docs\a_1budget\0421 Lawnside Borough - County of Camden\2020\ufb\0421_fba_2020.xlsm </v>
      </c>
      <c r="K37" s="507"/>
      <c r="L37" s="507"/>
      <c r="M37" s="507"/>
      <c r="N37" s="661"/>
      <c r="O37" s="661"/>
      <c r="P37" s="661"/>
      <c r="Q37" s="661"/>
      <c r="R37" s="507"/>
    </row>
    <row r="38" spans="1:24">
      <c r="A38" s="504" t="str">
        <f ca="1">MID(CELL("filename",A26),FIND("]",CELL("filename",A26))+1,256)</f>
        <v>Cover Page</v>
      </c>
      <c r="B38" s="503">
        <f>ROW()</f>
        <v>38</v>
      </c>
      <c r="C38" s="504" t="str">
        <f>K6</f>
        <v>0421</v>
      </c>
      <c r="D38" s="491">
        <f>K4</f>
        <v>2020</v>
      </c>
      <c r="E38" s="491" t="s">
        <v>2031</v>
      </c>
      <c r="F38" s="491" t="s">
        <v>2037</v>
      </c>
      <c r="G38" s="491" t="s">
        <v>2037</v>
      </c>
      <c r="H38" s="505">
        <f>M38</f>
        <v>0</v>
      </c>
      <c r="I38" s="507" t="str">
        <f>"s:\LGS Docs\a_1budget_files\"&amp;D4&amp;"\ufb\"&amp;N6</f>
        <v xml:space="preserve">s:\LGS Docs\a_1budget_files\2020\ufb\0421_fba_2020.xlsm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2020</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0421</v>
      </c>
      <c r="D40" s="491">
        <f>K4</f>
        <v>2020</v>
      </c>
      <c r="E40" s="491" t="s">
        <v>2031</v>
      </c>
      <c r="F40" s="491" t="s">
        <v>2090</v>
      </c>
      <c r="G40" s="491" t="s">
        <v>2037</v>
      </c>
      <c r="H40" s="505">
        <f>M38</f>
        <v>0</v>
      </c>
      <c r="I40" s="506" t="str">
        <f>N6</f>
        <v xml:space="preserve">0421_fba_2020.xlsm </v>
      </c>
      <c r="J40" s="506" t="str">
        <f>K6</f>
        <v>0421</v>
      </c>
      <c r="K40" s="506" t="str">
        <f>A4</f>
        <v>0421 Lawnside Borough - County of Camden</v>
      </c>
      <c r="L40" s="506" t="str">
        <f>L7</f>
        <v>www.lawnsidenj.org</v>
      </c>
      <c r="M40" s="506" t="str">
        <f>M8</f>
        <v>856-573-6200</v>
      </c>
      <c r="N40" s="506" t="str">
        <f>M9</f>
        <v>4 Dr. Martin Luther King, Jr., Road</v>
      </c>
      <c r="O40" s="506">
        <f>M10</f>
        <v>0</v>
      </c>
      <c r="P40" s="506" t="s">
        <v>121</v>
      </c>
      <c r="Q40" s="506" t="str">
        <f>O11</f>
        <v>NJ</v>
      </c>
      <c r="R40" s="506" t="str">
        <f>Q11</f>
        <v>08045</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75">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75">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75">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75">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75">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75">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 ref="N22:Q22"/>
    <mergeCell ref="K5:M5"/>
    <mergeCell ref="L7:Q7"/>
    <mergeCell ref="M9:Q9"/>
    <mergeCell ref="M10:Q10"/>
    <mergeCell ref="N14:Q14"/>
    <mergeCell ref="J11:K11"/>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371475</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9525</xdr:colOff>
                    <xdr:row>9</xdr:row>
                    <xdr:rowOff>28575</xdr:rowOff>
                  </from>
                  <to>
                    <xdr:col>11</xdr:col>
                    <xdr:colOff>9525</xdr:colOff>
                    <xdr:row>9</xdr:row>
                    <xdr:rowOff>219075</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1362075</xdr:colOff>
                    <xdr:row>35</xdr:row>
                    <xdr:rowOff>180975</xdr:rowOff>
                  </from>
                  <to>
                    <xdr:col>13</xdr:col>
                    <xdr:colOff>19050</xdr:colOff>
                    <xdr:row>37</xdr:row>
                    <xdr:rowOff>9525</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28575</xdr:colOff>
                    <xdr:row>4</xdr:row>
                    <xdr:rowOff>47625</xdr:rowOff>
                  </from>
                  <to>
                    <xdr:col>16</xdr:col>
                    <xdr:colOff>1057275</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9"/>
  <sheetViews>
    <sheetView topLeftCell="J1" workbookViewId="0">
      <selection activeCell="M32" sqref="M32"/>
    </sheetView>
  </sheetViews>
  <sheetFormatPr defaultColWidth="10" defaultRowHeight="15"/>
  <cols>
    <col min="1" max="9" width="10" style="154" hidden="1" customWidth="1"/>
    <col min="10" max="10" width="54.5703125" style="154" bestFit="1" customWidth="1"/>
    <col min="11" max="11" width="18" style="174" customWidth="1"/>
    <col min="12" max="13" width="16.140625" style="174" customWidth="1"/>
    <col min="14" max="14" width="17.140625" style="154" customWidth="1"/>
    <col min="15" max="15" width="16.7109375" style="154" customWidth="1"/>
    <col min="16" max="16" width="15.85546875" style="154" customWidth="1"/>
    <col min="17" max="18" width="10" style="154"/>
    <col min="19" max="19" width="10" style="154" hidden="1" customWidth="1"/>
    <col min="20" max="16384" width="10" style="154"/>
  </cols>
  <sheetData>
    <row r="1" spans="1:16" ht="18.75">
      <c r="A1" s="491" t="str">
        <f ca="1">MID(CELL("filename",A2),FIND("]",CELL("filename",A2))+1,256)</f>
        <v>UFB-8 Health Benefits</v>
      </c>
      <c r="B1" s="491">
        <f>ROW()</f>
        <v>1</v>
      </c>
      <c r="C1" s="491" t="str">
        <f>'Cover Page'!K6</f>
        <v>0421</v>
      </c>
      <c r="D1" s="491">
        <f>'Cover Page'!K4</f>
        <v>2020</v>
      </c>
      <c r="E1" s="491" t="s">
        <v>2031</v>
      </c>
      <c r="F1" s="491" t="s">
        <v>121</v>
      </c>
      <c r="G1" s="491"/>
      <c r="H1" s="505">
        <f>'Cover Page'!M38</f>
        <v>0</v>
      </c>
      <c r="J1" s="685" t="s">
        <v>285</v>
      </c>
      <c r="K1" s="685"/>
      <c r="L1" s="685"/>
      <c r="M1" s="685"/>
    </row>
    <row r="2" spans="1:16" ht="57.75">
      <c r="A2" s="491" t="str">
        <f ca="1">MID(CELL("filename",A2),FIND("]",CELL("filename",A2))+1,256)</f>
        <v>UFB-8 Health Benefits</v>
      </c>
      <c r="B2" s="491">
        <f>ROW()</f>
        <v>2</v>
      </c>
      <c r="C2" s="491" t="str">
        <f>'Cover Page'!K6</f>
        <v>0421</v>
      </c>
      <c r="D2" s="491">
        <f>'Cover Page'!K4</f>
        <v>2020</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0421</v>
      </c>
      <c r="D3" s="491">
        <f>'Cover Page'!K4</f>
        <v>2020</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0421</v>
      </c>
      <c r="D4" s="491">
        <f>'Cover Page'!K4</f>
        <v>2020</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0421</v>
      </c>
      <c r="D5" s="491">
        <f>'Cover Page'!K4</f>
        <v>2020</v>
      </c>
      <c r="E5" s="491" t="s">
        <v>2031</v>
      </c>
      <c r="F5" s="491" t="s">
        <v>2177</v>
      </c>
      <c r="G5" s="491" t="s">
        <v>2171</v>
      </c>
      <c r="H5" s="505">
        <f>'Cover Page'!M38</f>
        <v>0</v>
      </c>
      <c r="J5" s="161" t="s">
        <v>183</v>
      </c>
      <c r="K5" s="162">
        <v>7</v>
      </c>
      <c r="L5" s="271">
        <f>11868*1.02</f>
        <v>12105.36</v>
      </c>
      <c r="M5" s="272">
        <f>K5*L5</f>
        <v>84737.52</v>
      </c>
      <c r="N5" s="162">
        <v>7</v>
      </c>
      <c r="O5" s="271">
        <v>11868</v>
      </c>
      <c r="P5" s="272">
        <f>N5*O5</f>
        <v>83076</v>
      </c>
    </row>
    <row r="6" spans="1:16">
      <c r="A6" s="491" t="str">
        <f t="shared" ca="1" si="0"/>
        <v>UFB-8 Health Benefits</v>
      </c>
      <c r="B6" s="491">
        <f>ROW()</f>
        <v>6</v>
      </c>
      <c r="C6" s="491" t="str">
        <f>'Cover Page'!K6</f>
        <v>0421</v>
      </c>
      <c r="D6" s="491">
        <f>'Cover Page'!K4</f>
        <v>2020</v>
      </c>
      <c r="E6" s="491" t="s">
        <v>2031</v>
      </c>
      <c r="F6" s="491" t="s">
        <v>2177</v>
      </c>
      <c r="G6" s="491" t="s">
        <v>2172</v>
      </c>
      <c r="H6" s="505">
        <f>'Cover Page'!M38</f>
        <v>0</v>
      </c>
      <c r="J6" s="161" t="s">
        <v>184</v>
      </c>
      <c r="K6" s="162">
        <v>6</v>
      </c>
      <c r="L6" s="271">
        <f>23676*1.02</f>
        <v>24149.52</v>
      </c>
      <c r="M6" s="272">
        <f>K6*L6</f>
        <v>144897.12</v>
      </c>
      <c r="N6" s="162">
        <v>6</v>
      </c>
      <c r="O6" s="271">
        <v>23676</v>
      </c>
      <c r="P6" s="272">
        <f>N6*O6</f>
        <v>142056</v>
      </c>
    </row>
    <row r="7" spans="1:16">
      <c r="A7" s="491" t="str">
        <f t="shared" ca="1" si="0"/>
        <v>UFB-8 Health Benefits</v>
      </c>
      <c r="B7" s="491">
        <f>ROW()</f>
        <v>7</v>
      </c>
      <c r="C7" s="491" t="str">
        <f>'Cover Page'!K6</f>
        <v>0421</v>
      </c>
      <c r="D7" s="491">
        <f>'Cover Page'!K4</f>
        <v>2020</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0421</v>
      </c>
      <c r="D8" s="491">
        <f>'Cover Page'!K4</f>
        <v>2020</v>
      </c>
      <c r="E8" s="491" t="s">
        <v>2031</v>
      </c>
      <c r="F8" s="491" t="s">
        <v>2177</v>
      </c>
      <c r="G8" s="491" t="s">
        <v>2174</v>
      </c>
      <c r="H8" s="505">
        <f>'Cover Page'!M38</f>
        <v>0</v>
      </c>
      <c r="J8" s="161" t="s">
        <v>186</v>
      </c>
      <c r="K8" s="162">
        <v>6</v>
      </c>
      <c r="L8" s="271">
        <f>33192*1.02</f>
        <v>33855.840000000004</v>
      </c>
      <c r="M8" s="272">
        <f>K8*L8</f>
        <v>203135.04000000004</v>
      </c>
      <c r="N8" s="162">
        <v>6</v>
      </c>
      <c r="O8" s="271">
        <v>33192</v>
      </c>
      <c r="P8" s="272">
        <f>N8*O8</f>
        <v>199152</v>
      </c>
    </row>
    <row r="9" spans="1:16">
      <c r="A9" s="491" t="str">
        <f t="shared" ca="1" si="0"/>
        <v>UFB-8 Health Benefits</v>
      </c>
      <c r="B9" s="491">
        <f>ROW()</f>
        <v>9</v>
      </c>
      <c r="C9" s="491" t="str">
        <f>'Cover Page'!K6</f>
        <v>0421</v>
      </c>
      <c r="D9" s="491">
        <f>'Cover Page'!K4</f>
        <v>2020</v>
      </c>
      <c r="E9" s="491" t="s">
        <v>2031</v>
      </c>
      <c r="F9" s="491" t="s">
        <v>2177</v>
      </c>
      <c r="G9" s="491" t="s">
        <v>2175</v>
      </c>
      <c r="H9" s="505">
        <f>'Cover Page'!M38</f>
        <v>0</v>
      </c>
      <c r="J9" s="161" t="s">
        <v>187</v>
      </c>
      <c r="K9" s="169"/>
      <c r="L9" s="557"/>
      <c r="M9" s="558">
        <v>-79200</v>
      </c>
      <c r="N9" s="169"/>
      <c r="O9" s="557"/>
      <c r="P9" s="558">
        <v>-33653</v>
      </c>
    </row>
    <row r="10" spans="1:16">
      <c r="A10" s="491" t="str">
        <f ca="1">MID(CELL("filename",A10),FIND("]",CELL("filename",A10))+1,256)</f>
        <v>UFB-8 Health Benefits</v>
      </c>
      <c r="B10" s="491">
        <f>ROW()</f>
        <v>10</v>
      </c>
      <c r="C10" s="491" t="str">
        <f>'Cover Page'!K6</f>
        <v>0421</v>
      </c>
      <c r="D10" s="491">
        <f>'Cover Page'!K4</f>
        <v>2020</v>
      </c>
      <c r="E10" s="491" t="s">
        <v>2031</v>
      </c>
      <c r="F10" s="491" t="s">
        <v>2177</v>
      </c>
      <c r="G10" s="491" t="s">
        <v>2176</v>
      </c>
      <c r="H10" s="505">
        <f>'Cover Page'!M38</f>
        <v>0</v>
      </c>
      <c r="J10" s="161" t="s">
        <v>188</v>
      </c>
      <c r="K10" s="605">
        <f>SUM(K5:K8)</f>
        <v>19</v>
      </c>
      <c r="L10" s="557"/>
      <c r="M10" s="273">
        <f t="shared" ref="M10" si="1">SUM(M5:M9)</f>
        <v>353569.68000000005</v>
      </c>
      <c r="N10" s="605">
        <f>SUM(N5:N8)</f>
        <v>19</v>
      </c>
      <c r="O10" s="557"/>
      <c r="P10" s="273">
        <f t="shared" ref="P10" si="2">SUM(P5:P9)</f>
        <v>390631</v>
      </c>
    </row>
    <row r="11" spans="1:16" ht="3.75" customHeight="1">
      <c r="A11" s="491" t="str">
        <f ca="1">MID(CELL("filename",A11),FIND("]",CELL("filename",A11))+1,256)</f>
        <v>UFB-8 Health Benefits</v>
      </c>
      <c r="B11" s="491">
        <f>ROW()</f>
        <v>11</v>
      </c>
      <c r="C11" s="491" t="str">
        <f>'Cover Page'!K6</f>
        <v>0421</v>
      </c>
      <c r="D11" s="491">
        <f>'Cover Page'!K4</f>
        <v>2020</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0421</v>
      </c>
      <c r="D12" s="491">
        <f>'Cover Page'!K4</f>
        <v>2020</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0421</v>
      </c>
      <c r="D13" s="491">
        <f>'Cover Page'!K4</f>
        <v>2020</v>
      </c>
      <c r="E13" s="491" t="s">
        <v>2031</v>
      </c>
      <c r="F13" s="491" t="s">
        <v>2178</v>
      </c>
      <c r="G13" s="491" t="s">
        <v>2171</v>
      </c>
      <c r="H13" s="505">
        <f>'Cover Page'!M38</f>
        <v>0</v>
      </c>
      <c r="J13" s="161" t="s">
        <v>183</v>
      </c>
      <c r="K13" s="296">
        <v>1</v>
      </c>
      <c r="L13" s="271">
        <f>11868*1.02</f>
        <v>12105.36</v>
      </c>
      <c r="M13" s="272">
        <f>K13*L13</f>
        <v>12105.36</v>
      </c>
      <c r="N13" s="296">
        <v>1</v>
      </c>
      <c r="O13" s="271">
        <v>11868</v>
      </c>
      <c r="P13" s="272">
        <f>N13*O13</f>
        <v>11868</v>
      </c>
    </row>
    <row r="14" spans="1:16">
      <c r="A14" s="491" t="str">
        <f t="shared" ca="1" si="0"/>
        <v>UFB-8 Health Benefits</v>
      </c>
      <c r="B14" s="491">
        <f>ROW()</f>
        <v>14</v>
      </c>
      <c r="C14" s="491" t="str">
        <f>'Cover Page'!K6</f>
        <v>0421</v>
      </c>
      <c r="D14" s="491">
        <f>'Cover Page'!K4</f>
        <v>2020</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0421</v>
      </c>
      <c r="D15" s="491">
        <f>'Cover Page'!K4</f>
        <v>2020</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0421</v>
      </c>
      <c r="D16" s="491">
        <f>'Cover Page'!K4</f>
        <v>2020</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0421</v>
      </c>
      <c r="D17" s="491">
        <f>'Cover Page'!K4</f>
        <v>2020</v>
      </c>
      <c r="E17" s="491" t="s">
        <v>2031</v>
      </c>
      <c r="F17" s="491" t="s">
        <v>2178</v>
      </c>
      <c r="G17" s="491" t="s">
        <v>2175</v>
      </c>
      <c r="H17" s="505">
        <f>'Cover Page'!M38</f>
        <v>0</v>
      </c>
      <c r="J17" s="161" t="s">
        <v>187</v>
      </c>
      <c r="K17" s="297"/>
      <c r="L17" s="557"/>
      <c r="M17" s="558">
        <f>1000*1.02</f>
        <v>1020</v>
      </c>
      <c r="N17" s="297"/>
      <c r="O17" s="557"/>
      <c r="P17" s="558">
        <v>-1000</v>
      </c>
    </row>
    <row r="18" spans="1:19">
      <c r="A18" s="491" t="str">
        <f t="shared" ca="1" si="0"/>
        <v>UFB-8 Health Benefits</v>
      </c>
      <c r="B18" s="491">
        <f>ROW()</f>
        <v>18</v>
      </c>
      <c r="C18" s="491" t="str">
        <f>'Cover Page'!K6</f>
        <v>0421</v>
      </c>
      <c r="D18" s="491">
        <f>'Cover Page'!K4</f>
        <v>2020</v>
      </c>
      <c r="E18" s="491" t="s">
        <v>2031</v>
      </c>
      <c r="F18" s="491" t="s">
        <v>2178</v>
      </c>
      <c r="G18" s="491" t="s">
        <v>2176</v>
      </c>
      <c r="H18" s="505">
        <f>'Cover Page'!M38</f>
        <v>0</v>
      </c>
      <c r="J18" s="161" t="s">
        <v>188</v>
      </c>
      <c r="K18" s="605">
        <f>SUM(K13:K16)</f>
        <v>1</v>
      </c>
      <c r="L18" s="557"/>
      <c r="M18" s="273">
        <f t="shared" ref="M18" si="3">SUM(M13:M17)</f>
        <v>13125.36</v>
      </c>
      <c r="N18" s="605">
        <f>SUM(N13:N16)</f>
        <v>1</v>
      </c>
      <c r="O18" s="557"/>
      <c r="P18" s="273">
        <f t="shared" ref="P18" si="4">SUM(P13:P17)</f>
        <v>10868</v>
      </c>
    </row>
    <row r="19" spans="1:19" ht="2.25" customHeight="1">
      <c r="A19" s="491" t="str">
        <f t="shared" ca="1" si="0"/>
        <v>UFB-8 Health Benefits</v>
      </c>
      <c r="B19" s="491">
        <f>ROW()</f>
        <v>19</v>
      </c>
      <c r="C19" s="491" t="str">
        <f>'Cover Page'!K6</f>
        <v>0421</v>
      </c>
      <c r="D19" s="491">
        <f>'Cover Page'!K4</f>
        <v>2020</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0421</v>
      </c>
      <c r="D20" s="491">
        <f>'Cover Page'!K4</f>
        <v>2020</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0421</v>
      </c>
      <c r="D21" s="491">
        <f>'Cover Page'!K4</f>
        <v>2020</v>
      </c>
      <c r="E21" s="491" t="s">
        <v>2031</v>
      </c>
      <c r="F21" s="491" t="s">
        <v>2179</v>
      </c>
      <c r="G21" s="491" t="s">
        <v>2171</v>
      </c>
      <c r="H21" s="505">
        <f>'Cover Page'!M38</f>
        <v>0</v>
      </c>
      <c r="J21" s="161" t="s">
        <v>183</v>
      </c>
      <c r="K21" s="296">
        <v>2</v>
      </c>
      <c r="L21" s="271">
        <f>10038*1.02</f>
        <v>10238.76</v>
      </c>
      <c r="M21" s="272">
        <f>K21*L21</f>
        <v>20477.52</v>
      </c>
      <c r="N21" s="296">
        <v>2</v>
      </c>
      <c r="O21" s="271">
        <v>10038</v>
      </c>
      <c r="P21" s="272">
        <f>N21*O21</f>
        <v>20076</v>
      </c>
    </row>
    <row r="22" spans="1:19">
      <c r="A22" s="491" t="str">
        <f t="shared" ca="1" si="0"/>
        <v>UFB-8 Health Benefits</v>
      </c>
      <c r="B22" s="491">
        <f>ROW()</f>
        <v>22</v>
      </c>
      <c r="C22" s="491" t="str">
        <f>'Cover Page'!K6</f>
        <v>0421</v>
      </c>
      <c r="D22" s="491">
        <f>'Cover Page'!K4</f>
        <v>2020</v>
      </c>
      <c r="E22" s="491" t="s">
        <v>2031</v>
      </c>
      <c r="F22" s="491" t="s">
        <v>2179</v>
      </c>
      <c r="G22" s="491" t="s">
        <v>2172</v>
      </c>
      <c r="H22" s="505">
        <f>'Cover Page'!M38</f>
        <v>0</v>
      </c>
      <c r="J22" s="161" t="s">
        <v>184</v>
      </c>
      <c r="K22" s="296">
        <v>2</v>
      </c>
      <c r="L22" s="271">
        <f>20550*1.02</f>
        <v>20961</v>
      </c>
      <c r="M22" s="272">
        <f>K22*L22</f>
        <v>41922</v>
      </c>
      <c r="N22" s="296">
        <v>2</v>
      </c>
      <c r="O22" s="271">
        <v>20550</v>
      </c>
      <c r="P22" s="272">
        <f>N22*O22</f>
        <v>41100</v>
      </c>
    </row>
    <row r="23" spans="1:19">
      <c r="A23" s="491" t="str">
        <f t="shared" ca="1" si="0"/>
        <v>UFB-8 Health Benefits</v>
      </c>
      <c r="B23" s="491">
        <f>ROW()</f>
        <v>23</v>
      </c>
      <c r="C23" s="491" t="str">
        <f>'Cover Page'!K6</f>
        <v>0421</v>
      </c>
      <c r="D23" s="491">
        <f>'Cover Page'!K4</f>
        <v>2020</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0421</v>
      </c>
      <c r="D24" s="491">
        <f>'Cover Page'!K4</f>
        <v>2020</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0421</v>
      </c>
      <c r="D25" s="491">
        <f>'Cover Page'!K4</f>
        <v>2020</v>
      </c>
      <c r="E25" s="491" t="s">
        <v>2031</v>
      </c>
      <c r="F25" s="491" t="s">
        <v>2179</v>
      </c>
      <c r="G25" s="491" t="s">
        <v>2175</v>
      </c>
      <c r="H25" s="505">
        <f>'Cover Page'!M38</f>
        <v>0</v>
      </c>
      <c r="J25" s="161" t="s">
        <v>187</v>
      </c>
      <c r="K25" s="297"/>
      <c r="L25" s="557"/>
      <c r="M25" s="558">
        <f>5098*1.02</f>
        <v>5199.96</v>
      </c>
      <c r="N25" s="297"/>
      <c r="O25" s="557"/>
      <c r="P25" s="558">
        <v>-5098</v>
      </c>
    </row>
    <row r="26" spans="1:19">
      <c r="A26" s="491" t="str">
        <f t="shared" ca="1" si="0"/>
        <v>UFB-8 Health Benefits</v>
      </c>
      <c r="B26" s="491">
        <f>ROW()</f>
        <v>26</v>
      </c>
      <c r="C26" s="491" t="str">
        <f>'Cover Page'!K6</f>
        <v>0421</v>
      </c>
      <c r="D26" s="491">
        <f>'Cover Page'!K4</f>
        <v>2020</v>
      </c>
      <c r="E26" s="491" t="s">
        <v>2031</v>
      </c>
      <c r="F26" s="491" t="s">
        <v>2179</v>
      </c>
      <c r="G26" s="491" t="s">
        <v>2176</v>
      </c>
      <c r="H26" s="505">
        <f>'Cover Page'!M38</f>
        <v>0</v>
      </c>
      <c r="J26" s="161" t="s">
        <v>188</v>
      </c>
      <c r="K26" s="605">
        <f>SUM(K21:K24)</f>
        <v>4</v>
      </c>
      <c r="L26" s="557"/>
      <c r="M26" s="273">
        <f t="shared" ref="M26" si="5">SUM(M21:M25)</f>
        <v>67599.48000000001</v>
      </c>
      <c r="N26" s="605">
        <f>SUM(N21:N24)</f>
        <v>4</v>
      </c>
      <c r="O26" s="557"/>
      <c r="P26" s="273">
        <f t="shared" ref="P26" si="6">SUM(P21:P25)</f>
        <v>56078</v>
      </c>
    </row>
    <row r="27" spans="1:19" ht="3" customHeight="1">
      <c r="A27" s="491" t="str">
        <f t="shared" ca="1" si="0"/>
        <v>UFB-8 Health Benefits</v>
      </c>
      <c r="B27" s="491">
        <f>ROW()</f>
        <v>27</v>
      </c>
      <c r="C27" s="491" t="str">
        <f>'Cover Page'!K6</f>
        <v>0421</v>
      </c>
      <c r="D27" s="491">
        <f>'Cover Page'!K4</f>
        <v>2020</v>
      </c>
      <c r="E27" s="491" t="s">
        <v>2031</v>
      </c>
      <c r="F27" s="491" t="s">
        <v>2170</v>
      </c>
      <c r="G27" s="491" t="s">
        <v>2036</v>
      </c>
      <c r="H27" s="505">
        <f>'Cover Page'!M38</f>
        <v>0</v>
      </c>
      <c r="J27" s="168"/>
      <c r="K27" s="169"/>
      <c r="L27" s="557"/>
      <c r="M27" s="278"/>
      <c r="N27" s="169"/>
      <c r="O27" s="557"/>
      <c r="P27" s="278"/>
    </row>
    <row r="28" spans="1:19" ht="15.75" thickBot="1">
      <c r="A28" s="491" t="str">
        <f t="shared" ca="1" si="0"/>
        <v>UFB-8 Health Benefits</v>
      </c>
      <c r="B28" s="491">
        <f>ROW()</f>
        <v>28</v>
      </c>
      <c r="C28" s="491" t="str">
        <f>'Cover Page'!K6</f>
        <v>0421</v>
      </c>
      <c r="D28" s="491">
        <f>'Cover Page'!K4</f>
        <v>2020</v>
      </c>
      <c r="E28" s="491" t="s">
        <v>2031</v>
      </c>
      <c r="F28" s="491" t="s">
        <v>2180</v>
      </c>
      <c r="G28" s="491" t="s">
        <v>2181</v>
      </c>
      <c r="H28" s="505">
        <f>'Cover Page'!M38</f>
        <v>0</v>
      </c>
      <c r="J28" s="170" t="s">
        <v>191</v>
      </c>
      <c r="K28" s="606">
        <f>+K26+K18+K10</f>
        <v>24</v>
      </c>
      <c r="L28" s="557"/>
      <c r="M28" s="279">
        <f>+M26+M18+M10</f>
        <v>434294.52000000008</v>
      </c>
      <c r="N28" s="606">
        <f>+N26+N18+N10</f>
        <v>24</v>
      </c>
      <c r="O28" s="557"/>
      <c r="P28" s="279">
        <f>+P26+P18+P10</f>
        <v>457577</v>
      </c>
    </row>
    <row r="29" spans="1:19" ht="15.75" thickTop="1">
      <c r="A29" s="491" t="str">
        <f t="shared" ca="1" si="0"/>
        <v>UFB-8 Health Benefits</v>
      </c>
      <c r="B29" s="491">
        <f>ROW()</f>
        <v>29</v>
      </c>
      <c r="C29" s="491" t="str">
        <f>'Cover Page'!K6</f>
        <v>0421</v>
      </c>
      <c r="D29" s="491">
        <f>'Cover Page'!K4</f>
        <v>2020</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0421</v>
      </c>
      <c r="D30" s="491">
        <f>'Cover Page'!K4</f>
        <v>2020</v>
      </c>
      <c r="E30" s="491" t="s">
        <v>2031</v>
      </c>
      <c r="F30" s="491" t="s">
        <v>121</v>
      </c>
      <c r="G30" s="491" t="s">
        <v>121</v>
      </c>
      <c r="H30" s="505">
        <f>'Cover Page'!M38</f>
        <v>0</v>
      </c>
      <c r="J30" s="731" t="s">
        <v>2297</v>
      </c>
      <c r="K30" s="731"/>
      <c r="L30" s="731"/>
      <c r="M30" s="731"/>
      <c r="S30" s="154" t="s">
        <v>290</v>
      </c>
    </row>
    <row r="31" spans="1:19" ht="20.25">
      <c r="A31" s="491" t="str">
        <f t="shared" ca="1" si="0"/>
        <v>UFB-8 Health Benefits</v>
      </c>
      <c r="B31" s="491">
        <f>ROW()</f>
        <v>31</v>
      </c>
      <c r="C31" s="491" t="str">
        <f>'Cover Page'!K6</f>
        <v>0421</v>
      </c>
      <c r="D31" s="491">
        <f>'Cover Page'!K4</f>
        <v>2020</v>
      </c>
      <c r="E31" s="491" t="s">
        <v>2031</v>
      </c>
      <c r="F31" s="491" t="s">
        <v>2184</v>
      </c>
      <c r="G31" s="491" t="s">
        <v>2182</v>
      </c>
      <c r="H31" s="505">
        <f>'Cover Page'!M38</f>
        <v>0</v>
      </c>
      <c r="J31" s="172" t="s">
        <v>192</v>
      </c>
      <c r="K31" s="173"/>
      <c r="L31" s="154"/>
      <c r="M31" s="415" t="s">
        <v>291</v>
      </c>
      <c r="S31" s="154" t="s">
        <v>291</v>
      </c>
    </row>
    <row r="32" spans="1:19" ht="20.25">
      <c r="A32" s="491" t="str">
        <f t="shared" ca="1" si="0"/>
        <v>UFB-8 Health Benefits</v>
      </c>
      <c r="B32" s="491">
        <f>ROW()</f>
        <v>32</v>
      </c>
      <c r="C32" s="491" t="str">
        <f>'Cover Page'!K6</f>
        <v>0421</v>
      </c>
      <c r="D32" s="491">
        <f>'Cover Page'!K4</f>
        <v>2020</v>
      </c>
      <c r="E32" s="491" t="s">
        <v>2031</v>
      </c>
      <c r="F32" s="491" t="s">
        <v>2184</v>
      </c>
      <c r="G32" s="491" t="s">
        <v>2183</v>
      </c>
      <c r="H32" s="505">
        <f>'Cover Page'!M38</f>
        <v>0</v>
      </c>
      <c r="J32" s="172" t="s">
        <v>193</v>
      </c>
      <c r="K32" s="173"/>
      <c r="L32" s="154"/>
      <c r="M32" s="415" t="s">
        <v>291</v>
      </c>
    </row>
    <row r="33" spans="1:14">
      <c r="A33" s="504"/>
      <c r="B33" s="503"/>
      <c r="C33" s="491"/>
      <c r="D33" s="491"/>
      <c r="E33" s="491"/>
      <c r="F33" s="491"/>
      <c r="G33" s="491"/>
      <c r="H33" s="494"/>
      <c r="K33" s="154"/>
      <c r="L33" s="154"/>
      <c r="M33" s="154"/>
    </row>
    <row r="34" spans="1:14" ht="15.75">
      <c r="A34" s="504"/>
      <c r="B34" s="503"/>
      <c r="C34" s="491"/>
      <c r="D34" s="491"/>
      <c r="E34" s="491"/>
      <c r="F34" s="491"/>
      <c r="G34" s="491"/>
      <c r="H34" s="494"/>
      <c r="K34" s="730" t="s">
        <v>194</v>
      </c>
      <c r="L34" s="730"/>
      <c r="M34" s="730"/>
      <c r="N34" s="73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7"/>
  <sheetViews>
    <sheetView tabSelected="1" topLeftCell="K1" workbookViewId="0">
      <selection activeCell="T29" sqref="T29"/>
    </sheetView>
  </sheetViews>
  <sheetFormatPr defaultColWidth="9" defaultRowHeight="12.75"/>
  <cols>
    <col min="1" max="7" width="9" style="175" hidden="1" customWidth="1"/>
    <col min="8" max="8" width="10" style="175" hidden="1" customWidth="1"/>
    <col min="9" max="10" width="9" style="175" hidden="1" customWidth="1"/>
    <col min="11" max="11" width="51.7109375" style="175" customWidth="1"/>
    <col min="12" max="12" width="14.42578125" style="175" customWidth="1"/>
    <col min="13" max="13" width="26.5703125" style="175" customWidth="1"/>
    <col min="14" max="14" width="12" style="175" customWidth="1"/>
    <col min="15" max="15" width="11.140625" style="175" customWidth="1"/>
    <col min="16" max="16" width="14.42578125" style="175" customWidth="1"/>
    <col min="17" max="264" width="9" style="175"/>
    <col min="265" max="265" width="9" style="175" customWidth="1"/>
    <col min="266" max="266" width="51.7109375" style="175" customWidth="1"/>
    <col min="267" max="267" width="14.42578125" style="175" customWidth="1"/>
    <col min="268" max="268" width="4.85546875" style="175" customWidth="1"/>
    <col min="269" max="269" width="26.5703125" style="175" customWidth="1"/>
    <col min="270" max="270" width="12" style="175" customWidth="1"/>
    <col min="271" max="271" width="11.140625" style="175" customWidth="1"/>
    <col min="272" max="272" width="14.42578125" style="175" customWidth="1"/>
    <col min="273" max="520" width="9" style="175"/>
    <col min="521" max="521" width="9" style="175" customWidth="1"/>
    <col min="522" max="522" width="51.7109375" style="175" customWidth="1"/>
    <col min="523" max="523" width="14.42578125" style="175" customWidth="1"/>
    <col min="524" max="524" width="4.85546875" style="175" customWidth="1"/>
    <col min="525" max="525" width="26.5703125" style="175" customWidth="1"/>
    <col min="526" max="526" width="12" style="175" customWidth="1"/>
    <col min="527" max="527" width="11.140625" style="175" customWidth="1"/>
    <col min="528" max="528" width="14.42578125" style="175" customWidth="1"/>
    <col min="529" max="776" width="9" style="175"/>
    <col min="777" max="777" width="9" style="175" customWidth="1"/>
    <col min="778" max="778" width="51.7109375" style="175" customWidth="1"/>
    <col min="779" max="779" width="14.42578125" style="175" customWidth="1"/>
    <col min="780" max="780" width="4.85546875" style="175" customWidth="1"/>
    <col min="781" max="781" width="26.5703125" style="175" customWidth="1"/>
    <col min="782" max="782" width="12" style="175" customWidth="1"/>
    <col min="783" max="783" width="11.140625" style="175" customWidth="1"/>
    <col min="784" max="784" width="14.42578125" style="175" customWidth="1"/>
    <col min="785" max="1032" width="9" style="175"/>
    <col min="1033" max="1033" width="9" style="175" customWidth="1"/>
    <col min="1034" max="1034" width="51.7109375" style="175" customWidth="1"/>
    <col min="1035" max="1035" width="14.42578125" style="175" customWidth="1"/>
    <col min="1036" max="1036" width="4.85546875" style="175" customWidth="1"/>
    <col min="1037" max="1037" width="26.5703125" style="175" customWidth="1"/>
    <col min="1038" max="1038" width="12" style="175" customWidth="1"/>
    <col min="1039" max="1039" width="11.140625" style="175" customWidth="1"/>
    <col min="1040" max="1040" width="14.42578125" style="175" customWidth="1"/>
    <col min="1041" max="1288" width="9" style="175"/>
    <col min="1289" max="1289" width="9" style="175" customWidth="1"/>
    <col min="1290" max="1290" width="51.7109375" style="175" customWidth="1"/>
    <col min="1291" max="1291" width="14.42578125" style="175" customWidth="1"/>
    <col min="1292" max="1292" width="4.85546875" style="175" customWidth="1"/>
    <col min="1293" max="1293" width="26.5703125" style="175" customWidth="1"/>
    <col min="1294" max="1294" width="12" style="175" customWidth="1"/>
    <col min="1295" max="1295" width="11.140625" style="175" customWidth="1"/>
    <col min="1296" max="1296" width="14.42578125" style="175" customWidth="1"/>
    <col min="1297" max="1544" width="9" style="175"/>
    <col min="1545" max="1545" width="9" style="175" customWidth="1"/>
    <col min="1546" max="1546" width="51.7109375" style="175" customWidth="1"/>
    <col min="1547" max="1547" width="14.42578125" style="175" customWidth="1"/>
    <col min="1548" max="1548" width="4.85546875" style="175" customWidth="1"/>
    <col min="1549" max="1549" width="26.5703125" style="175" customWidth="1"/>
    <col min="1550" max="1550" width="12" style="175" customWidth="1"/>
    <col min="1551" max="1551" width="11.140625" style="175" customWidth="1"/>
    <col min="1552" max="1552" width="14.42578125" style="175" customWidth="1"/>
    <col min="1553" max="1800" width="9" style="175"/>
    <col min="1801" max="1801" width="9" style="175" customWidth="1"/>
    <col min="1802" max="1802" width="51.7109375" style="175" customWidth="1"/>
    <col min="1803" max="1803" width="14.42578125" style="175" customWidth="1"/>
    <col min="1804" max="1804" width="4.85546875" style="175" customWidth="1"/>
    <col min="1805" max="1805" width="26.5703125" style="175" customWidth="1"/>
    <col min="1806" max="1806" width="12" style="175" customWidth="1"/>
    <col min="1807" max="1807" width="11.140625" style="175" customWidth="1"/>
    <col min="1808" max="1808" width="14.42578125" style="175" customWidth="1"/>
    <col min="1809" max="2056" width="9" style="175"/>
    <col min="2057" max="2057" width="9" style="175" customWidth="1"/>
    <col min="2058" max="2058" width="51.7109375" style="175" customWidth="1"/>
    <col min="2059" max="2059" width="14.42578125" style="175" customWidth="1"/>
    <col min="2060" max="2060" width="4.85546875" style="175" customWidth="1"/>
    <col min="2061" max="2061" width="26.5703125" style="175" customWidth="1"/>
    <col min="2062" max="2062" width="12" style="175" customWidth="1"/>
    <col min="2063" max="2063" width="11.140625" style="175" customWidth="1"/>
    <col min="2064" max="2064" width="14.42578125" style="175" customWidth="1"/>
    <col min="2065" max="2312" width="9" style="175"/>
    <col min="2313" max="2313" width="9" style="175" customWidth="1"/>
    <col min="2314" max="2314" width="51.7109375" style="175" customWidth="1"/>
    <col min="2315" max="2315" width="14.42578125" style="175" customWidth="1"/>
    <col min="2316" max="2316" width="4.85546875" style="175" customWidth="1"/>
    <col min="2317" max="2317" width="26.5703125" style="175" customWidth="1"/>
    <col min="2318" max="2318" width="12" style="175" customWidth="1"/>
    <col min="2319" max="2319" width="11.140625" style="175" customWidth="1"/>
    <col min="2320" max="2320" width="14.42578125" style="175" customWidth="1"/>
    <col min="2321" max="2568" width="9" style="175"/>
    <col min="2569" max="2569" width="9" style="175" customWidth="1"/>
    <col min="2570" max="2570" width="51.7109375" style="175" customWidth="1"/>
    <col min="2571" max="2571" width="14.42578125" style="175" customWidth="1"/>
    <col min="2572" max="2572" width="4.85546875" style="175" customWidth="1"/>
    <col min="2573" max="2573" width="26.5703125" style="175" customWidth="1"/>
    <col min="2574" max="2574" width="12" style="175" customWidth="1"/>
    <col min="2575" max="2575" width="11.140625" style="175" customWidth="1"/>
    <col min="2576" max="2576" width="14.42578125" style="175" customWidth="1"/>
    <col min="2577" max="2824" width="9" style="175"/>
    <col min="2825" max="2825" width="9" style="175" customWidth="1"/>
    <col min="2826" max="2826" width="51.7109375" style="175" customWidth="1"/>
    <col min="2827" max="2827" width="14.42578125" style="175" customWidth="1"/>
    <col min="2828" max="2828" width="4.85546875" style="175" customWidth="1"/>
    <col min="2829" max="2829" width="26.5703125" style="175" customWidth="1"/>
    <col min="2830" max="2830" width="12" style="175" customWidth="1"/>
    <col min="2831" max="2831" width="11.140625" style="175" customWidth="1"/>
    <col min="2832" max="2832" width="14.42578125" style="175" customWidth="1"/>
    <col min="2833" max="3080" width="9" style="175"/>
    <col min="3081" max="3081" width="9" style="175" customWidth="1"/>
    <col min="3082" max="3082" width="51.7109375" style="175" customWidth="1"/>
    <col min="3083" max="3083" width="14.42578125" style="175" customWidth="1"/>
    <col min="3084" max="3084" width="4.85546875" style="175" customWidth="1"/>
    <col min="3085" max="3085" width="26.5703125" style="175" customWidth="1"/>
    <col min="3086" max="3086" width="12" style="175" customWidth="1"/>
    <col min="3087" max="3087" width="11.140625" style="175" customWidth="1"/>
    <col min="3088" max="3088" width="14.42578125" style="175" customWidth="1"/>
    <col min="3089" max="3336" width="9" style="175"/>
    <col min="3337" max="3337" width="9" style="175" customWidth="1"/>
    <col min="3338" max="3338" width="51.7109375" style="175" customWidth="1"/>
    <col min="3339" max="3339" width="14.42578125" style="175" customWidth="1"/>
    <col min="3340" max="3340" width="4.85546875" style="175" customWidth="1"/>
    <col min="3341" max="3341" width="26.5703125" style="175" customWidth="1"/>
    <col min="3342" max="3342" width="12" style="175" customWidth="1"/>
    <col min="3343" max="3343" width="11.140625" style="175" customWidth="1"/>
    <col min="3344" max="3344" width="14.42578125" style="175" customWidth="1"/>
    <col min="3345" max="3592" width="9" style="175"/>
    <col min="3593" max="3593" width="9" style="175" customWidth="1"/>
    <col min="3594" max="3594" width="51.7109375" style="175" customWidth="1"/>
    <col min="3595" max="3595" width="14.42578125" style="175" customWidth="1"/>
    <col min="3596" max="3596" width="4.85546875" style="175" customWidth="1"/>
    <col min="3597" max="3597" width="26.5703125" style="175" customWidth="1"/>
    <col min="3598" max="3598" width="12" style="175" customWidth="1"/>
    <col min="3599" max="3599" width="11.140625" style="175" customWidth="1"/>
    <col min="3600" max="3600" width="14.42578125" style="175" customWidth="1"/>
    <col min="3601" max="3848" width="9" style="175"/>
    <col min="3849" max="3849" width="9" style="175" customWidth="1"/>
    <col min="3850" max="3850" width="51.7109375" style="175" customWidth="1"/>
    <col min="3851" max="3851" width="14.42578125" style="175" customWidth="1"/>
    <col min="3852" max="3852" width="4.85546875" style="175" customWidth="1"/>
    <col min="3853" max="3853" width="26.5703125" style="175" customWidth="1"/>
    <col min="3854" max="3854" width="12" style="175" customWidth="1"/>
    <col min="3855" max="3855" width="11.140625" style="175" customWidth="1"/>
    <col min="3856" max="3856" width="14.42578125" style="175" customWidth="1"/>
    <col min="3857" max="4104" width="9" style="175"/>
    <col min="4105" max="4105" width="9" style="175" customWidth="1"/>
    <col min="4106" max="4106" width="51.7109375" style="175" customWidth="1"/>
    <col min="4107" max="4107" width="14.42578125" style="175" customWidth="1"/>
    <col min="4108" max="4108" width="4.85546875" style="175" customWidth="1"/>
    <col min="4109" max="4109" width="26.5703125" style="175" customWidth="1"/>
    <col min="4110" max="4110" width="12" style="175" customWidth="1"/>
    <col min="4111" max="4111" width="11.140625" style="175" customWidth="1"/>
    <col min="4112" max="4112" width="14.42578125" style="175" customWidth="1"/>
    <col min="4113" max="4360" width="9" style="175"/>
    <col min="4361" max="4361" width="9" style="175" customWidth="1"/>
    <col min="4362" max="4362" width="51.7109375" style="175" customWidth="1"/>
    <col min="4363" max="4363" width="14.42578125" style="175" customWidth="1"/>
    <col min="4364" max="4364" width="4.85546875" style="175" customWidth="1"/>
    <col min="4365" max="4365" width="26.5703125" style="175" customWidth="1"/>
    <col min="4366" max="4366" width="12" style="175" customWidth="1"/>
    <col min="4367" max="4367" width="11.140625" style="175" customWidth="1"/>
    <col min="4368" max="4368" width="14.42578125" style="175" customWidth="1"/>
    <col min="4369" max="4616" width="9" style="175"/>
    <col min="4617" max="4617" width="9" style="175" customWidth="1"/>
    <col min="4618" max="4618" width="51.7109375" style="175" customWidth="1"/>
    <col min="4619" max="4619" width="14.42578125" style="175" customWidth="1"/>
    <col min="4620" max="4620" width="4.85546875" style="175" customWidth="1"/>
    <col min="4621" max="4621" width="26.5703125" style="175" customWidth="1"/>
    <col min="4622" max="4622" width="12" style="175" customWidth="1"/>
    <col min="4623" max="4623" width="11.140625" style="175" customWidth="1"/>
    <col min="4624" max="4624" width="14.42578125" style="175" customWidth="1"/>
    <col min="4625" max="4872" width="9" style="175"/>
    <col min="4873" max="4873" width="9" style="175" customWidth="1"/>
    <col min="4874" max="4874" width="51.7109375" style="175" customWidth="1"/>
    <col min="4875" max="4875" width="14.42578125" style="175" customWidth="1"/>
    <col min="4876" max="4876" width="4.85546875" style="175" customWidth="1"/>
    <col min="4877" max="4877" width="26.5703125" style="175" customWidth="1"/>
    <col min="4878" max="4878" width="12" style="175" customWidth="1"/>
    <col min="4879" max="4879" width="11.140625" style="175" customWidth="1"/>
    <col min="4880" max="4880" width="14.42578125" style="175" customWidth="1"/>
    <col min="4881" max="5128" width="9" style="175"/>
    <col min="5129" max="5129" width="9" style="175" customWidth="1"/>
    <col min="5130" max="5130" width="51.7109375" style="175" customWidth="1"/>
    <col min="5131" max="5131" width="14.42578125" style="175" customWidth="1"/>
    <col min="5132" max="5132" width="4.85546875" style="175" customWidth="1"/>
    <col min="5133" max="5133" width="26.5703125" style="175" customWidth="1"/>
    <col min="5134" max="5134" width="12" style="175" customWidth="1"/>
    <col min="5135" max="5135" width="11.140625" style="175" customWidth="1"/>
    <col min="5136" max="5136" width="14.42578125" style="175" customWidth="1"/>
    <col min="5137" max="5384" width="9" style="175"/>
    <col min="5385" max="5385" width="9" style="175" customWidth="1"/>
    <col min="5386" max="5386" width="51.7109375" style="175" customWidth="1"/>
    <col min="5387" max="5387" width="14.42578125" style="175" customWidth="1"/>
    <col min="5388" max="5388" width="4.85546875" style="175" customWidth="1"/>
    <col min="5389" max="5389" width="26.5703125" style="175" customWidth="1"/>
    <col min="5390" max="5390" width="12" style="175" customWidth="1"/>
    <col min="5391" max="5391" width="11.140625" style="175" customWidth="1"/>
    <col min="5392" max="5392" width="14.42578125" style="175" customWidth="1"/>
    <col min="5393" max="5640" width="9" style="175"/>
    <col min="5641" max="5641" width="9" style="175" customWidth="1"/>
    <col min="5642" max="5642" width="51.7109375" style="175" customWidth="1"/>
    <col min="5643" max="5643" width="14.42578125" style="175" customWidth="1"/>
    <col min="5644" max="5644" width="4.85546875" style="175" customWidth="1"/>
    <col min="5645" max="5645" width="26.5703125" style="175" customWidth="1"/>
    <col min="5646" max="5646" width="12" style="175" customWidth="1"/>
    <col min="5647" max="5647" width="11.140625" style="175" customWidth="1"/>
    <col min="5648" max="5648" width="14.42578125" style="175" customWidth="1"/>
    <col min="5649" max="5896" width="9" style="175"/>
    <col min="5897" max="5897" width="9" style="175" customWidth="1"/>
    <col min="5898" max="5898" width="51.7109375" style="175" customWidth="1"/>
    <col min="5899" max="5899" width="14.42578125" style="175" customWidth="1"/>
    <col min="5900" max="5900" width="4.85546875" style="175" customWidth="1"/>
    <col min="5901" max="5901" width="26.5703125" style="175" customWidth="1"/>
    <col min="5902" max="5902" width="12" style="175" customWidth="1"/>
    <col min="5903" max="5903" width="11.140625" style="175" customWidth="1"/>
    <col min="5904" max="5904" width="14.42578125" style="175" customWidth="1"/>
    <col min="5905" max="6152" width="9" style="175"/>
    <col min="6153" max="6153" width="9" style="175" customWidth="1"/>
    <col min="6154" max="6154" width="51.7109375" style="175" customWidth="1"/>
    <col min="6155" max="6155" width="14.42578125" style="175" customWidth="1"/>
    <col min="6156" max="6156" width="4.85546875" style="175" customWidth="1"/>
    <col min="6157" max="6157" width="26.5703125" style="175" customWidth="1"/>
    <col min="6158" max="6158" width="12" style="175" customWidth="1"/>
    <col min="6159" max="6159" width="11.140625" style="175" customWidth="1"/>
    <col min="6160" max="6160" width="14.42578125" style="175" customWidth="1"/>
    <col min="6161" max="6408" width="9" style="175"/>
    <col min="6409" max="6409" width="9" style="175" customWidth="1"/>
    <col min="6410" max="6410" width="51.7109375" style="175" customWidth="1"/>
    <col min="6411" max="6411" width="14.42578125" style="175" customWidth="1"/>
    <col min="6412" max="6412" width="4.85546875" style="175" customWidth="1"/>
    <col min="6413" max="6413" width="26.5703125" style="175" customWidth="1"/>
    <col min="6414" max="6414" width="12" style="175" customWidth="1"/>
    <col min="6415" max="6415" width="11.140625" style="175" customWidth="1"/>
    <col min="6416" max="6416" width="14.42578125" style="175" customWidth="1"/>
    <col min="6417" max="6664" width="9" style="175"/>
    <col min="6665" max="6665" width="9" style="175" customWidth="1"/>
    <col min="6666" max="6666" width="51.7109375" style="175" customWidth="1"/>
    <col min="6667" max="6667" width="14.42578125" style="175" customWidth="1"/>
    <col min="6668" max="6668" width="4.85546875" style="175" customWidth="1"/>
    <col min="6669" max="6669" width="26.5703125" style="175" customWidth="1"/>
    <col min="6670" max="6670" width="12" style="175" customWidth="1"/>
    <col min="6671" max="6671" width="11.140625" style="175" customWidth="1"/>
    <col min="6672" max="6672" width="14.42578125" style="175" customWidth="1"/>
    <col min="6673" max="6920" width="9" style="175"/>
    <col min="6921" max="6921" width="9" style="175" customWidth="1"/>
    <col min="6922" max="6922" width="51.7109375" style="175" customWidth="1"/>
    <col min="6923" max="6923" width="14.42578125" style="175" customWidth="1"/>
    <col min="6924" max="6924" width="4.85546875" style="175" customWidth="1"/>
    <col min="6925" max="6925" width="26.5703125" style="175" customWidth="1"/>
    <col min="6926" max="6926" width="12" style="175" customWidth="1"/>
    <col min="6927" max="6927" width="11.140625" style="175" customWidth="1"/>
    <col min="6928" max="6928" width="14.42578125" style="175" customWidth="1"/>
    <col min="6929" max="7176" width="9" style="175"/>
    <col min="7177" max="7177" width="9" style="175" customWidth="1"/>
    <col min="7178" max="7178" width="51.7109375" style="175" customWidth="1"/>
    <col min="7179" max="7179" width="14.42578125" style="175" customWidth="1"/>
    <col min="7180" max="7180" width="4.85546875" style="175" customWidth="1"/>
    <col min="7181" max="7181" width="26.5703125" style="175" customWidth="1"/>
    <col min="7182" max="7182" width="12" style="175" customWidth="1"/>
    <col min="7183" max="7183" width="11.140625" style="175" customWidth="1"/>
    <col min="7184" max="7184" width="14.42578125" style="175" customWidth="1"/>
    <col min="7185" max="7432" width="9" style="175"/>
    <col min="7433" max="7433" width="9" style="175" customWidth="1"/>
    <col min="7434" max="7434" width="51.7109375" style="175" customWidth="1"/>
    <col min="7435" max="7435" width="14.42578125" style="175" customWidth="1"/>
    <col min="7436" max="7436" width="4.85546875" style="175" customWidth="1"/>
    <col min="7437" max="7437" width="26.5703125" style="175" customWidth="1"/>
    <col min="7438" max="7438" width="12" style="175" customWidth="1"/>
    <col min="7439" max="7439" width="11.140625" style="175" customWidth="1"/>
    <col min="7440" max="7440" width="14.42578125" style="175" customWidth="1"/>
    <col min="7441" max="7688" width="9" style="175"/>
    <col min="7689" max="7689" width="9" style="175" customWidth="1"/>
    <col min="7690" max="7690" width="51.7109375" style="175" customWidth="1"/>
    <col min="7691" max="7691" width="14.42578125" style="175" customWidth="1"/>
    <col min="7692" max="7692" width="4.85546875" style="175" customWidth="1"/>
    <col min="7693" max="7693" width="26.5703125" style="175" customWidth="1"/>
    <col min="7694" max="7694" width="12" style="175" customWidth="1"/>
    <col min="7695" max="7695" width="11.140625" style="175" customWidth="1"/>
    <col min="7696" max="7696" width="14.42578125" style="175" customWidth="1"/>
    <col min="7697" max="7944" width="9" style="175"/>
    <col min="7945" max="7945" width="9" style="175" customWidth="1"/>
    <col min="7946" max="7946" width="51.7109375" style="175" customWidth="1"/>
    <col min="7947" max="7947" width="14.42578125" style="175" customWidth="1"/>
    <col min="7948" max="7948" width="4.85546875" style="175" customWidth="1"/>
    <col min="7949" max="7949" width="26.5703125" style="175" customWidth="1"/>
    <col min="7950" max="7950" width="12" style="175" customWidth="1"/>
    <col min="7951" max="7951" width="11.140625" style="175" customWidth="1"/>
    <col min="7952" max="7952" width="14.42578125" style="175" customWidth="1"/>
    <col min="7953" max="8200" width="9" style="175"/>
    <col min="8201" max="8201" width="9" style="175" customWidth="1"/>
    <col min="8202" max="8202" width="51.7109375" style="175" customWidth="1"/>
    <col min="8203" max="8203" width="14.42578125" style="175" customWidth="1"/>
    <col min="8204" max="8204" width="4.85546875" style="175" customWidth="1"/>
    <col min="8205" max="8205" width="26.5703125" style="175" customWidth="1"/>
    <col min="8206" max="8206" width="12" style="175" customWidth="1"/>
    <col min="8207" max="8207" width="11.140625" style="175" customWidth="1"/>
    <col min="8208" max="8208" width="14.42578125" style="175" customWidth="1"/>
    <col min="8209" max="8456" width="9" style="175"/>
    <col min="8457" max="8457" width="9" style="175" customWidth="1"/>
    <col min="8458" max="8458" width="51.7109375" style="175" customWidth="1"/>
    <col min="8459" max="8459" width="14.42578125" style="175" customWidth="1"/>
    <col min="8460" max="8460" width="4.85546875" style="175" customWidth="1"/>
    <col min="8461" max="8461" width="26.5703125" style="175" customWidth="1"/>
    <col min="8462" max="8462" width="12" style="175" customWidth="1"/>
    <col min="8463" max="8463" width="11.140625" style="175" customWidth="1"/>
    <col min="8464" max="8464" width="14.42578125" style="175" customWidth="1"/>
    <col min="8465" max="8712" width="9" style="175"/>
    <col min="8713" max="8713" width="9" style="175" customWidth="1"/>
    <col min="8714" max="8714" width="51.7109375" style="175" customWidth="1"/>
    <col min="8715" max="8715" width="14.42578125" style="175" customWidth="1"/>
    <col min="8716" max="8716" width="4.85546875" style="175" customWidth="1"/>
    <col min="8717" max="8717" width="26.5703125" style="175" customWidth="1"/>
    <col min="8718" max="8718" width="12" style="175" customWidth="1"/>
    <col min="8719" max="8719" width="11.140625" style="175" customWidth="1"/>
    <col min="8720" max="8720" width="14.42578125" style="175" customWidth="1"/>
    <col min="8721" max="8968" width="9" style="175"/>
    <col min="8969" max="8969" width="9" style="175" customWidth="1"/>
    <col min="8970" max="8970" width="51.7109375" style="175" customWidth="1"/>
    <col min="8971" max="8971" width="14.42578125" style="175" customWidth="1"/>
    <col min="8972" max="8972" width="4.85546875" style="175" customWidth="1"/>
    <col min="8973" max="8973" width="26.5703125" style="175" customWidth="1"/>
    <col min="8974" max="8974" width="12" style="175" customWidth="1"/>
    <col min="8975" max="8975" width="11.140625" style="175" customWidth="1"/>
    <col min="8976" max="8976" width="14.42578125" style="175" customWidth="1"/>
    <col min="8977" max="9224" width="9" style="175"/>
    <col min="9225" max="9225" width="9" style="175" customWidth="1"/>
    <col min="9226" max="9226" width="51.7109375" style="175" customWidth="1"/>
    <col min="9227" max="9227" width="14.42578125" style="175" customWidth="1"/>
    <col min="9228" max="9228" width="4.85546875" style="175" customWidth="1"/>
    <col min="9229" max="9229" width="26.5703125" style="175" customWidth="1"/>
    <col min="9230" max="9230" width="12" style="175" customWidth="1"/>
    <col min="9231" max="9231" width="11.140625" style="175" customWidth="1"/>
    <col min="9232" max="9232" width="14.42578125" style="175" customWidth="1"/>
    <col min="9233" max="9480" width="9" style="175"/>
    <col min="9481" max="9481" width="9" style="175" customWidth="1"/>
    <col min="9482" max="9482" width="51.7109375" style="175" customWidth="1"/>
    <col min="9483" max="9483" width="14.42578125" style="175" customWidth="1"/>
    <col min="9484" max="9484" width="4.85546875" style="175" customWidth="1"/>
    <col min="9485" max="9485" width="26.5703125" style="175" customWidth="1"/>
    <col min="9486" max="9486" width="12" style="175" customWidth="1"/>
    <col min="9487" max="9487" width="11.140625" style="175" customWidth="1"/>
    <col min="9488" max="9488" width="14.42578125" style="175" customWidth="1"/>
    <col min="9489" max="9736" width="9" style="175"/>
    <col min="9737" max="9737" width="9" style="175" customWidth="1"/>
    <col min="9738" max="9738" width="51.7109375" style="175" customWidth="1"/>
    <col min="9739" max="9739" width="14.42578125" style="175" customWidth="1"/>
    <col min="9740" max="9740" width="4.85546875" style="175" customWidth="1"/>
    <col min="9741" max="9741" width="26.5703125" style="175" customWidth="1"/>
    <col min="9742" max="9742" width="12" style="175" customWidth="1"/>
    <col min="9743" max="9743" width="11.140625" style="175" customWidth="1"/>
    <col min="9744" max="9744" width="14.42578125" style="175" customWidth="1"/>
    <col min="9745" max="9992" width="9" style="175"/>
    <col min="9993" max="9993" width="9" style="175" customWidth="1"/>
    <col min="9994" max="9994" width="51.7109375" style="175" customWidth="1"/>
    <col min="9995" max="9995" width="14.42578125" style="175" customWidth="1"/>
    <col min="9996" max="9996" width="4.85546875" style="175" customWidth="1"/>
    <col min="9997" max="9997" width="26.5703125" style="175" customWidth="1"/>
    <col min="9998" max="9998" width="12" style="175" customWidth="1"/>
    <col min="9999" max="9999" width="11.140625" style="175" customWidth="1"/>
    <col min="10000" max="10000" width="14.42578125" style="175" customWidth="1"/>
    <col min="10001" max="10248" width="9" style="175"/>
    <col min="10249" max="10249" width="9" style="175" customWidth="1"/>
    <col min="10250" max="10250" width="51.7109375" style="175" customWidth="1"/>
    <col min="10251" max="10251" width="14.42578125" style="175" customWidth="1"/>
    <col min="10252" max="10252" width="4.85546875" style="175" customWidth="1"/>
    <col min="10253" max="10253" width="26.5703125" style="175" customWidth="1"/>
    <col min="10254" max="10254" width="12" style="175" customWidth="1"/>
    <col min="10255" max="10255" width="11.140625" style="175" customWidth="1"/>
    <col min="10256" max="10256" width="14.42578125" style="175" customWidth="1"/>
    <col min="10257" max="10504" width="9" style="175"/>
    <col min="10505" max="10505" width="9" style="175" customWidth="1"/>
    <col min="10506" max="10506" width="51.7109375" style="175" customWidth="1"/>
    <col min="10507" max="10507" width="14.42578125" style="175" customWidth="1"/>
    <col min="10508" max="10508" width="4.85546875" style="175" customWidth="1"/>
    <col min="10509" max="10509" width="26.5703125" style="175" customWidth="1"/>
    <col min="10510" max="10510" width="12" style="175" customWidth="1"/>
    <col min="10511" max="10511" width="11.140625" style="175" customWidth="1"/>
    <col min="10512" max="10512" width="14.42578125" style="175" customWidth="1"/>
    <col min="10513" max="10760" width="9" style="175"/>
    <col min="10761" max="10761" width="9" style="175" customWidth="1"/>
    <col min="10762" max="10762" width="51.7109375" style="175" customWidth="1"/>
    <col min="10763" max="10763" width="14.42578125" style="175" customWidth="1"/>
    <col min="10764" max="10764" width="4.85546875" style="175" customWidth="1"/>
    <col min="10765" max="10765" width="26.5703125" style="175" customWidth="1"/>
    <col min="10766" max="10766" width="12" style="175" customWidth="1"/>
    <col min="10767" max="10767" width="11.140625" style="175" customWidth="1"/>
    <col min="10768" max="10768" width="14.42578125" style="175" customWidth="1"/>
    <col min="10769" max="11016" width="9" style="175"/>
    <col min="11017" max="11017" width="9" style="175" customWidth="1"/>
    <col min="11018" max="11018" width="51.7109375" style="175" customWidth="1"/>
    <col min="11019" max="11019" width="14.42578125" style="175" customWidth="1"/>
    <col min="11020" max="11020" width="4.85546875" style="175" customWidth="1"/>
    <col min="11021" max="11021" width="26.5703125" style="175" customWidth="1"/>
    <col min="11022" max="11022" width="12" style="175" customWidth="1"/>
    <col min="11023" max="11023" width="11.140625" style="175" customWidth="1"/>
    <col min="11024" max="11024" width="14.42578125" style="175" customWidth="1"/>
    <col min="11025" max="11272" width="9" style="175"/>
    <col min="11273" max="11273" width="9" style="175" customWidth="1"/>
    <col min="11274" max="11274" width="51.7109375" style="175" customWidth="1"/>
    <col min="11275" max="11275" width="14.42578125" style="175" customWidth="1"/>
    <col min="11276" max="11276" width="4.85546875" style="175" customWidth="1"/>
    <col min="11277" max="11277" width="26.5703125" style="175" customWidth="1"/>
    <col min="11278" max="11278" width="12" style="175" customWidth="1"/>
    <col min="11279" max="11279" width="11.140625" style="175" customWidth="1"/>
    <col min="11280" max="11280" width="14.42578125" style="175" customWidth="1"/>
    <col min="11281" max="11528" width="9" style="175"/>
    <col min="11529" max="11529" width="9" style="175" customWidth="1"/>
    <col min="11530" max="11530" width="51.7109375" style="175" customWidth="1"/>
    <col min="11531" max="11531" width="14.42578125" style="175" customWidth="1"/>
    <col min="11532" max="11532" width="4.85546875" style="175" customWidth="1"/>
    <col min="11533" max="11533" width="26.5703125" style="175" customWidth="1"/>
    <col min="11534" max="11534" width="12" style="175" customWidth="1"/>
    <col min="11535" max="11535" width="11.140625" style="175" customWidth="1"/>
    <col min="11536" max="11536" width="14.42578125" style="175" customWidth="1"/>
    <col min="11537" max="11784" width="9" style="175"/>
    <col min="11785" max="11785" width="9" style="175" customWidth="1"/>
    <col min="11786" max="11786" width="51.7109375" style="175" customWidth="1"/>
    <col min="11787" max="11787" width="14.42578125" style="175" customWidth="1"/>
    <col min="11788" max="11788" width="4.85546875" style="175" customWidth="1"/>
    <col min="11789" max="11789" width="26.5703125" style="175" customWidth="1"/>
    <col min="11790" max="11790" width="12" style="175" customWidth="1"/>
    <col min="11791" max="11791" width="11.140625" style="175" customWidth="1"/>
    <col min="11792" max="11792" width="14.42578125" style="175" customWidth="1"/>
    <col min="11793" max="12040" width="9" style="175"/>
    <col min="12041" max="12041" width="9" style="175" customWidth="1"/>
    <col min="12042" max="12042" width="51.7109375" style="175" customWidth="1"/>
    <col min="12043" max="12043" width="14.42578125" style="175" customWidth="1"/>
    <col min="12044" max="12044" width="4.85546875" style="175" customWidth="1"/>
    <col min="12045" max="12045" width="26.5703125" style="175" customWidth="1"/>
    <col min="12046" max="12046" width="12" style="175" customWidth="1"/>
    <col min="12047" max="12047" width="11.140625" style="175" customWidth="1"/>
    <col min="12048" max="12048" width="14.42578125" style="175" customWidth="1"/>
    <col min="12049" max="12296" width="9" style="175"/>
    <col min="12297" max="12297" width="9" style="175" customWidth="1"/>
    <col min="12298" max="12298" width="51.7109375" style="175" customWidth="1"/>
    <col min="12299" max="12299" width="14.42578125" style="175" customWidth="1"/>
    <col min="12300" max="12300" width="4.85546875" style="175" customWidth="1"/>
    <col min="12301" max="12301" width="26.5703125" style="175" customWidth="1"/>
    <col min="12302" max="12302" width="12" style="175" customWidth="1"/>
    <col min="12303" max="12303" width="11.140625" style="175" customWidth="1"/>
    <col min="12304" max="12304" width="14.42578125" style="175" customWidth="1"/>
    <col min="12305" max="12552" width="9" style="175"/>
    <col min="12553" max="12553" width="9" style="175" customWidth="1"/>
    <col min="12554" max="12554" width="51.7109375" style="175" customWidth="1"/>
    <col min="12555" max="12555" width="14.42578125" style="175" customWidth="1"/>
    <col min="12556" max="12556" width="4.85546875" style="175" customWidth="1"/>
    <col min="12557" max="12557" width="26.5703125" style="175" customWidth="1"/>
    <col min="12558" max="12558" width="12" style="175" customWidth="1"/>
    <col min="12559" max="12559" width="11.140625" style="175" customWidth="1"/>
    <col min="12560" max="12560" width="14.42578125" style="175" customWidth="1"/>
    <col min="12561" max="12808" width="9" style="175"/>
    <col min="12809" max="12809" width="9" style="175" customWidth="1"/>
    <col min="12810" max="12810" width="51.7109375" style="175" customWidth="1"/>
    <col min="12811" max="12811" width="14.42578125" style="175" customWidth="1"/>
    <col min="12812" max="12812" width="4.85546875" style="175" customWidth="1"/>
    <col min="12813" max="12813" width="26.5703125" style="175" customWidth="1"/>
    <col min="12814" max="12814" width="12" style="175" customWidth="1"/>
    <col min="12815" max="12815" width="11.140625" style="175" customWidth="1"/>
    <col min="12816" max="12816" width="14.42578125" style="175" customWidth="1"/>
    <col min="12817" max="13064" width="9" style="175"/>
    <col min="13065" max="13065" width="9" style="175" customWidth="1"/>
    <col min="13066" max="13066" width="51.7109375" style="175" customWidth="1"/>
    <col min="13067" max="13067" width="14.42578125" style="175" customWidth="1"/>
    <col min="13068" max="13068" width="4.85546875" style="175" customWidth="1"/>
    <col min="13069" max="13069" width="26.5703125" style="175" customWidth="1"/>
    <col min="13070" max="13070" width="12" style="175" customWidth="1"/>
    <col min="13071" max="13071" width="11.140625" style="175" customWidth="1"/>
    <col min="13072" max="13072" width="14.42578125" style="175" customWidth="1"/>
    <col min="13073" max="13320" width="9" style="175"/>
    <col min="13321" max="13321" width="9" style="175" customWidth="1"/>
    <col min="13322" max="13322" width="51.7109375" style="175" customWidth="1"/>
    <col min="13323" max="13323" width="14.42578125" style="175" customWidth="1"/>
    <col min="13324" max="13324" width="4.85546875" style="175" customWidth="1"/>
    <col min="13325" max="13325" width="26.5703125" style="175" customWidth="1"/>
    <col min="13326" max="13326" width="12" style="175" customWidth="1"/>
    <col min="13327" max="13327" width="11.140625" style="175" customWidth="1"/>
    <col min="13328" max="13328" width="14.42578125" style="175" customWidth="1"/>
    <col min="13329" max="13576" width="9" style="175"/>
    <col min="13577" max="13577" width="9" style="175" customWidth="1"/>
    <col min="13578" max="13578" width="51.7109375" style="175" customWidth="1"/>
    <col min="13579" max="13579" width="14.42578125" style="175" customWidth="1"/>
    <col min="13580" max="13580" width="4.85546875" style="175" customWidth="1"/>
    <col min="13581" max="13581" width="26.5703125" style="175" customWidth="1"/>
    <col min="13582" max="13582" width="12" style="175" customWidth="1"/>
    <col min="13583" max="13583" width="11.140625" style="175" customWidth="1"/>
    <col min="13584" max="13584" width="14.42578125" style="175" customWidth="1"/>
    <col min="13585" max="13832" width="9" style="175"/>
    <col min="13833" max="13833" width="9" style="175" customWidth="1"/>
    <col min="13834" max="13834" width="51.7109375" style="175" customWidth="1"/>
    <col min="13835" max="13835" width="14.42578125" style="175" customWidth="1"/>
    <col min="13836" max="13836" width="4.85546875" style="175" customWidth="1"/>
    <col min="13837" max="13837" width="26.5703125" style="175" customWidth="1"/>
    <col min="13838" max="13838" width="12" style="175" customWidth="1"/>
    <col min="13839" max="13839" width="11.140625" style="175" customWidth="1"/>
    <col min="13840" max="13840" width="14.42578125" style="175" customWidth="1"/>
    <col min="13841" max="14088" width="9" style="175"/>
    <col min="14089" max="14089" width="9" style="175" customWidth="1"/>
    <col min="14090" max="14090" width="51.7109375" style="175" customWidth="1"/>
    <col min="14091" max="14091" width="14.42578125" style="175" customWidth="1"/>
    <col min="14092" max="14092" width="4.85546875" style="175" customWidth="1"/>
    <col min="14093" max="14093" width="26.5703125" style="175" customWidth="1"/>
    <col min="14094" max="14094" width="12" style="175" customWidth="1"/>
    <col min="14095" max="14095" width="11.140625" style="175" customWidth="1"/>
    <col min="14096" max="14096" width="14.42578125" style="175" customWidth="1"/>
    <col min="14097" max="14344" width="9" style="175"/>
    <col min="14345" max="14345" width="9" style="175" customWidth="1"/>
    <col min="14346" max="14346" width="51.7109375" style="175" customWidth="1"/>
    <col min="14347" max="14347" width="14.42578125" style="175" customWidth="1"/>
    <col min="14348" max="14348" width="4.85546875" style="175" customWidth="1"/>
    <col min="14349" max="14349" width="26.5703125" style="175" customWidth="1"/>
    <col min="14350" max="14350" width="12" style="175" customWidth="1"/>
    <col min="14351" max="14351" width="11.140625" style="175" customWidth="1"/>
    <col min="14352" max="14352" width="14.42578125" style="175" customWidth="1"/>
    <col min="14353" max="14600" width="9" style="175"/>
    <col min="14601" max="14601" width="9" style="175" customWidth="1"/>
    <col min="14602" max="14602" width="51.7109375" style="175" customWidth="1"/>
    <col min="14603" max="14603" width="14.42578125" style="175" customWidth="1"/>
    <col min="14604" max="14604" width="4.85546875" style="175" customWidth="1"/>
    <col min="14605" max="14605" width="26.5703125" style="175" customWidth="1"/>
    <col min="14606" max="14606" width="12" style="175" customWidth="1"/>
    <col min="14607" max="14607" width="11.140625" style="175" customWidth="1"/>
    <col min="14608" max="14608" width="14.42578125" style="175" customWidth="1"/>
    <col min="14609" max="14856" width="9" style="175"/>
    <col min="14857" max="14857" width="9" style="175" customWidth="1"/>
    <col min="14858" max="14858" width="51.7109375" style="175" customWidth="1"/>
    <col min="14859" max="14859" width="14.42578125" style="175" customWidth="1"/>
    <col min="14860" max="14860" width="4.85546875" style="175" customWidth="1"/>
    <col min="14861" max="14861" width="26.5703125" style="175" customWidth="1"/>
    <col min="14862" max="14862" width="12" style="175" customWidth="1"/>
    <col min="14863" max="14863" width="11.140625" style="175" customWidth="1"/>
    <col min="14864" max="14864" width="14.42578125" style="175" customWidth="1"/>
    <col min="14865" max="15112" width="9" style="175"/>
    <col min="15113" max="15113" width="9" style="175" customWidth="1"/>
    <col min="15114" max="15114" width="51.7109375" style="175" customWidth="1"/>
    <col min="15115" max="15115" width="14.42578125" style="175" customWidth="1"/>
    <col min="15116" max="15116" width="4.85546875" style="175" customWidth="1"/>
    <col min="15117" max="15117" width="26.5703125" style="175" customWidth="1"/>
    <col min="15118" max="15118" width="12" style="175" customWidth="1"/>
    <col min="15119" max="15119" width="11.140625" style="175" customWidth="1"/>
    <col min="15120" max="15120" width="14.42578125" style="175" customWidth="1"/>
    <col min="15121" max="15368" width="9" style="175"/>
    <col min="15369" max="15369" width="9" style="175" customWidth="1"/>
    <col min="15370" max="15370" width="51.7109375" style="175" customWidth="1"/>
    <col min="15371" max="15371" width="14.42578125" style="175" customWidth="1"/>
    <col min="15372" max="15372" width="4.85546875" style="175" customWidth="1"/>
    <col min="15373" max="15373" width="26.5703125" style="175" customWidth="1"/>
    <col min="15374" max="15374" width="12" style="175" customWidth="1"/>
    <col min="15375" max="15375" width="11.140625" style="175" customWidth="1"/>
    <col min="15376" max="15376" width="14.42578125" style="175" customWidth="1"/>
    <col min="15377" max="15624" width="9" style="175"/>
    <col min="15625" max="15625" width="9" style="175" customWidth="1"/>
    <col min="15626" max="15626" width="51.7109375" style="175" customWidth="1"/>
    <col min="15627" max="15627" width="14.42578125" style="175" customWidth="1"/>
    <col min="15628" max="15628" width="4.85546875" style="175" customWidth="1"/>
    <col min="15629" max="15629" width="26.5703125" style="175" customWidth="1"/>
    <col min="15630" max="15630" width="12" style="175" customWidth="1"/>
    <col min="15631" max="15631" width="11.140625" style="175" customWidth="1"/>
    <col min="15632" max="15632" width="14.42578125" style="175" customWidth="1"/>
    <col min="15633" max="15880" width="9" style="175"/>
    <col min="15881" max="15881" width="9" style="175" customWidth="1"/>
    <col min="15882" max="15882" width="51.7109375" style="175" customWidth="1"/>
    <col min="15883" max="15883" width="14.42578125" style="175" customWidth="1"/>
    <col min="15884" max="15884" width="4.85546875" style="175" customWidth="1"/>
    <col min="15885" max="15885" width="26.5703125" style="175" customWidth="1"/>
    <col min="15886" max="15886" width="12" style="175" customWidth="1"/>
    <col min="15887" max="15887" width="11.140625" style="175" customWidth="1"/>
    <col min="15888" max="15888" width="14.42578125" style="175" customWidth="1"/>
    <col min="15889" max="16136" width="9" style="175"/>
    <col min="16137" max="16137" width="9" style="175" customWidth="1"/>
    <col min="16138" max="16138" width="51.7109375" style="175" customWidth="1"/>
    <col min="16139" max="16139" width="14.42578125" style="175" customWidth="1"/>
    <col min="16140" max="16140" width="4.85546875" style="175" customWidth="1"/>
    <col min="16141" max="16141" width="26.5703125" style="175" customWidth="1"/>
    <col min="16142" max="16142" width="12" style="175" customWidth="1"/>
    <col min="16143" max="16143" width="11.140625" style="175" customWidth="1"/>
    <col min="16144" max="16144" width="14.42578125" style="175" customWidth="1"/>
    <col min="16145" max="16384" width="9" style="175"/>
  </cols>
  <sheetData>
    <row r="1" spans="1:16" ht="18.75">
      <c r="A1" s="491" t="str">
        <f ca="1">MID(CELL("filename",A2),FIND("]",CELL("filename",A2))+1,256)</f>
        <v>UFB-9 Accum. Absence Liability</v>
      </c>
      <c r="B1" s="491">
        <f>ROW()</f>
        <v>1</v>
      </c>
      <c r="C1" s="491" t="str">
        <f>'Cover Page'!K6</f>
        <v>0421</v>
      </c>
      <c r="D1" s="491">
        <f>'Cover Page'!K4</f>
        <v>2020</v>
      </c>
      <c r="E1" s="491" t="s">
        <v>2031</v>
      </c>
      <c r="F1" s="491" t="s">
        <v>2185</v>
      </c>
      <c r="G1" s="491"/>
      <c r="H1" s="505">
        <f>'Cover Page'!M38</f>
        <v>0</v>
      </c>
      <c r="J1" s="685" t="s">
        <v>0</v>
      </c>
      <c r="K1" s="685"/>
      <c r="L1" s="685"/>
      <c r="M1" s="685"/>
      <c r="N1" s="685"/>
      <c r="O1" s="685"/>
      <c r="P1" s="685"/>
    </row>
    <row r="2" spans="1:16" ht="18.75">
      <c r="A2" s="491" t="str">
        <f ca="1">MID(CELL("filename",A2),FIND("]",CELL("filename",A2))+1,256)</f>
        <v>UFB-9 Accum. Absence Liability</v>
      </c>
      <c r="B2" s="491">
        <f>ROW()</f>
        <v>2</v>
      </c>
      <c r="C2" s="491" t="str">
        <f>'Cover Page'!K6</f>
        <v>0421</v>
      </c>
      <c r="D2" s="491">
        <f>'Cover Page'!K4</f>
        <v>2020</v>
      </c>
      <c r="E2" s="491" t="s">
        <v>2031</v>
      </c>
      <c r="F2" s="491" t="s">
        <v>2185</v>
      </c>
      <c r="G2" s="491" t="s">
        <v>121</v>
      </c>
      <c r="H2" s="505">
        <f>'Cover Page'!M38</f>
        <v>0</v>
      </c>
      <c r="J2" s="729" t="s">
        <v>2295</v>
      </c>
      <c r="K2" s="729"/>
      <c r="L2" s="729"/>
      <c r="M2" s="729"/>
      <c r="N2" s="729"/>
      <c r="O2" s="729"/>
      <c r="P2" s="729"/>
    </row>
    <row r="3" spans="1:16" s="176" customFormat="1">
      <c r="A3" s="491" t="str">
        <f t="shared" ref="A3:A41" ca="1" si="0">MID(CELL("filename",A3),FIND("]",CELL("filename",A3))+1,256)</f>
        <v>UFB-9 Accum. Absence Liability</v>
      </c>
      <c r="B3" s="491">
        <f>ROW()</f>
        <v>3</v>
      </c>
      <c r="C3" s="491" t="str">
        <f>'Cover Page'!K6</f>
        <v>0421</v>
      </c>
      <c r="D3" s="491">
        <f>'Cover Page'!K4</f>
        <v>2020</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0421</v>
      </c>
      <c r="D4" s="491">
        <f>'Cover Page'!K4</f>
        <v>2020</v>
      </c>
      <c r="E4" s="491" t="s">
        <v>2031</v>
      </c>
      <c r="F4" s="491" t="s">
        <v>2185</v>
      </c>
      <c r="G4" s="491" t="s">
        <v>121</v>
      </c>
      <c r="H4" s="505">
        <f>'Cover Page'!M38</f>
        <v>0</v>
      </c>
      <c r="N4" s="177" t="s">
        <v>196</v>
      </c>
      <c r="O4" s="177"/>
      <c r="P4" s="177"/>
    </row>
    <row r="5" spans="1:16" s="176" customFormat="1" ht="38.25">
      <c r="A5" s="491" t="str">
        <f t="shared" ca="1" si="0"/>
        <v>UFB-9 Accum. Absence Liability</v>
      </c>
      <c r="B5" s="491">
        <f>ROW()</f>
        <v>5</v>
      </c>
      <c r="C5" s="491" t="str">
        <f>'Cover Page'!K6</f>
        <v>0421</v>
      </c>
      <c r="D5" s="491">
        <f>'Cover Page'!K4</f>
        <v>2020</v>
      </c>
      <c r="E5" s="491" t="s">
        <v>2031</v>
      </c>
      <c r="F5" s="491" t="s">
        <v>2185</v>
      </c>
      <c r="G5" s="491"/>
      <c r="H5" s="505">
        <f>'Cover Page'!M38</f>
        <v>0</v>
      </c>
      <c r="J5" s="178"/>
      <c r="K5" s="179" t="s">
        <v>197</v>
      </c>
      <c r="L5" s="180" t="s">
        <v>198</v>
      </c>
      <c r="M5" s="181" t="s">
        <v>199</v>
      </c>
      <c r="N5" s="181" t="s">
        <v>200</v>
      </c>
      <c r="O5" s="181" t="s">
        <v>201</v>
      </c>
      <c r="P5" s="181" t="s">
        <v>202</v>
      </c>
    </row>
    <row r="6" spans="1:16" ht="15">
      <c r="A6" s="491" t="str">
        <f t="shared" ca="1" si="0"/>
        <v>UFB-9 Accum. Absence Liability</v>
      </c>
      <c r="B6" s="491">
        <f>ROW()</f>
        <v>6</v>
      </c>
      <c r="C6" s="491" t="str">
        <f>'Cover Page'!K6</f>
        <v>0421</v>
      </c>
      <c r="D6" s="491">
        <f>'Cover Page'!K4</f>
        <v>2020</v>
      </c>
      <c r="E6" s="491" t="s">
        <v>2031</v>
      </c>
      <c r="F6" s="491" t="s">
        <v>2185</v>
      </c>
      <c r="G6" s="491" t="s">
        <v>2186</v>
      </c>
      <c r="H6" s="505">
        <f>'Cover Page'!M38</f>
        <v>0</v>
      </c>
      <c r="K6" s="416"/>
      <c r="L6" s="417"/>
      <c r="M6" s="418"/>
      <c r="N6" s="419"/>
      <c r="O6" s="419"/>
      <c r="P6" s="419"/>
    </row>
    <row r="7" spans="1:16" ht="15">
      <c r="A7" s="491" t="str">
        <f t="shared" ca="1" si="0"/>
        <v>UFB-9 Accum. Absence Liability</v>
      </c>
      <c r="B7" s="491">
        <f>ROW()</f>
        <v>7</v>
      </c>
      <c r="C7" s="491" t="str">
        <f>'Cover Page'!K6</f>
        <v>0421</v>
      </c>
      <c r="D7" s="491">
        <f>'Cover Page'!K4</f>
        <v>2020</v>
      </c>
      <c r="E7" s="491" t="s">
        <v>2031</v>
      </c>
      <c r="F7" s="491" t="s">
        <v>2185</v>
      </c>
      <c r="G7" s="491" t="s">
        <v>2186</v>
      </c>
      <c r="H7" s="505">
        <f>'Cover Page'!M38</f>
        <v>0</v>
      </c>
      <c r="K7" s="420"/>
      <c r="L7" s="417"/>
      <c r="M7" s="418"/>
      <c r="N7" s="419"/>
      <c r="O7" s="419"/>
      <c r="P7" s="419"/>
    </row>
    <row r="8" spans="1:16" ht="15">
      <c r="A8" s="491" t="str">
        <f ca="1">MID(CELL("filename",A8),FIND("]",CELL("filename",A8))+1,256)</f>
        <v>UFB-9 Accum. Absence Liability</v>
      </c>
      <c r="B8" s="491">
        <f>ROW()</f>
        <v>8</v>
      </c>
      <c r="C8" s="491" t="str">
        <f>'Cover Page'!K6</f>
        <v>0421</v>
      </c>
      <c r="D8" s="491">
        <f>'Cover Page'!K4</f>
        <v>2020</v>
      </c>
      <c r="E8" s="491" t="s">
        <v>2031</v>
      </c>
      <c r="F8" s="491" t="s">
        <v>2185</v>
      </c>
      <c r="G8" s="491" t="s">
        <v>2186</v>
      </c>
      <c r="H8" s="505">
        <f>'Cover Page'!M38</f>
        <v>0</v>
      </c>
      <c r="K8" s="416"/>
      <c r="L8" s="417"/>
      <c r="M8" s="418"/>
      <c r="N8" s="419"/>
      <c r="O8" s="419"/>
      <c r="P8" s="419"/>
    </row>
    <row r="9" spans="1:16" ht="15">
      <c r="A9" s="491" t="str">
        <f ca="1">MID(CELL("filename",A9),FIND("]",CELL("filename",A9))+1,256)</f>
        <v>UFB-9 Accum. Absence Liability</v>
      </c>
      <c r="B9" s="491">
        <f>ROW()</f>
        <v>9</v>
      </c>
      <c r="C9" s="491" t="str">
        <f>'Cover Page'!K6</f>
        <v>0421</v>
      </c>
      <c r="D9" s="491">
        <f>'Cover Page'!K4</f>
        <v>2020</v>
      </c>
      <c r="E9" s="491" t="s">
        <v>2031</v>
      </c>
      <c r="F9" s="491" t="s">
        <v>2185</v>
      </c>
      <c r="G9" s="491" t="s">
        <v>2186</v>
      </c>
      <c r="H9" s="505">
        <f>'Cover Page'!M38</f>
        <v>0</v>
      </c>
      <c r="K9" s="416"/>
      <c r="L9" s="417"/>
      <c r="M9" s="418"/>
      <c r="N9" s="419"/>
      <c r="O9" s="419"/>
      <c r="P9" s="419"/>
    </row>
    <row r="10" spans="1:16" ht="15">
      <c r="A10" s="491" t="str">
        <f ca="1">MID(CELL("filename",A10),FIND("]",CELL("filename",A10))+1,256)</f>
        <v>UFB-9 Accum. Absence Liability</v>
      </c>
      <c r="B10" s="491">
        <f>ROW()</f>
        <v>10</v>
      </c>
      <c r="C10" s="491" t="str">
        <f>'Cover Page'!K6</f>
        <v>0421</v>
      </c>
      <c r="D10" s="491">
        <f>'Cover Page'!K4</f>
        <v>2020</v>
      </c>
      <c r="E10" s="491" t="s">
        <v>2031</v>
      </c>
      <c r="F10" s="491" t="s">
        <v>2185</v>
      </c>
      <c r="G10" s="491" t="s">
        <v>2186</v>
      </c>
      <c r="H10" s="505">
        <f>'Cover Page'!M38</f>
        <v>0</v>
      </c>
      <c r="K10" s="416"/>
      <c r="L10" s="417"/>
      <c r="M10" s="418"/>
      <c r="N10" s="419"/>
      <c r="O10" s="419"/>
      <c r="P10" s="419"/>
    </row>
    <row r="11" spans="1:16" ht="15">
      <c r="A11" s="491" t="str">
        <f ca="1">MID(CELL("filename",A11),FIND("]",CELL("filename",A11))+1,256)</f>
        <v>UFB-9 Accum. Absence Liability</v>
      </c>
      <c r="B11" s="491">
        <f>ROW()</f>
        <v>11</v>
      </c>
      <c r="C11" s="491" t="str">
        <f>'Cover Page'!K6</f>
        <v>0421</v>
      </c>
      <c r="D11" s="491">
        <f>'Cover Page'!K4</f>
        <v>2020</v>
      </c>
      <c r="E11" s="491" t="s">
        <v>2031</v>
      </c>
      <c r="F11" s="491" t="s">
        <v>2185</v>
      </c>
      <c r="G11" s="491" t="s">
        <v>2186</v>
      </c>
      <c r="H11" s="505">
        <f>'Cover Page'!M38</f>
        <v>0</v>
      </c>
      <c r="K11" s="416"/>
      <c r="L11" s="417"/>
      <c r="M11" s="418"/>
      <c r="N11" s="419"/>
      <c r="O11" s="419"/>
      <c r="P11" s="419"/>
    </row>
    <row r="12" spans="1:16" ht="15">
      <c r="A12" s="491" t="str">
        <f t="shared" ca="1" si="0"/>
        <v>UFB-9 Accum. Absence Liability</v>
      </c>
      <c r="B12" s="491">
        <f>ROW()</f>
        <v>12</v>
      </c>
      <c r="C12" s="491" t="str">
        <f>'Cover Page'!K6</f>
        <v>0421</v>
      </c>
      <c r="D12" s="491">
        <f>'Cover Page'!K4</f>
        <v>2020</v>
      </c>
      <c r="E12" s="491" t="s">
        <v>2031</v>
      </c>
      <c r="F12" s="491" t="s">
        <v>2185</v>
      </c>
      <c r="G12" s="491" t="s">
        <v>2186</v>
      </c>
      <c r="H12" s="505">
        <f>'Cover Page'!M38</f>
        <v>0</v>
      </c>
      <c r="K12" s="416"/>
      <c r="L12" s="417"/>
      <c r="M12" s="418"/>
      <c r="N12" s="419"/>
      <c r="O12" s="419"/>
      <c r="P12" s="419"/>
    </row>
    <row r="13" spans="1:16" ht="15">
      <c r="A13" s="491" t="str">
        <f t="shared" ca="1" si="0"/>
        <v>UFB-9 Accum. Absence Liability</v>
      </c>
      <c r="B13" s="491">
        <f>ROW()</f>
        <v>13</v>
      </c>
      <c r="C13" s="491" t="str">
        <f>'Cover Page'!K6</f>
        <v>0421</v>
      </c>
      <c r="D13" s="491">
        <f>'Cover Page'!K4</f>
        <v>2020</v>
      </c>
      <c r="E13" s="491" t="s">
        <v>2031</v>
      </c>
      <c r="F13" s="491" t="s">
        <v>2185</v>
      </c>
      <c r="G13" s="491" t="s">
        <v>2186</v>
      </c>
      <c r="H13" s="505">
        <f>'Cover Page'!M38</f>
        <v>0</v>
      </c>
      <c r="K13" s="416"/>
      <c r="L13" s="417"/>
      <c r="M13" s="418"/>
      <c r="N13" s="419"/>
      <c r="O13" s="419"/>
      <c r="P13" s="419"/>
    </row>
    <row r="14" spans="1:16" ht="15">
      <c r="A14" s="491" t="str">
        <f t="shared" ca="1" si="0"/>
        <v>UFB-9 Accum. Absence Liability</v>
      </c>
      <c r="B14" s="491">
        <f>ROW()</f>
        <v>14</v>
      </c>
      <c r="C14" s="491" t="str">
        <f>'Cover Page'!K6</f>
        <v>0421</v>
      </c>
      <c r="D14" s="491">
        <f>'Cover Page'!K4</f>
        <v>2020</v>
      </c>
      <c r="E14" s="491" t="s">
        <v>2031</v>
      </c>
      <c r="F14" s="491" t="s">
        <v>2185</v>
      </c>
      <c r="G14" s="491" t="s">
        <v>2186</v>
      </c>
      <c r="H14" s="505">
        <f>'Cover Page'!M38</f>
        <v>0</v>
      </c>
      <c r="K14" s="416"/>
      <c r="L14" s="417"/>
      <c r="M14" s="418"/>
      <c r="N14" s="419"/>
      <c r="O14" s="419"/>
      <c r="P14" s="419"/>
    </row>
    <row r="15" spans="1:16" ht="15">
      <c r="A15" s="491" t="str">
        <f t="shared" ca="1" si="0"/>
        <v>UFB-9 Accum. Absence Liability</v>
      </c>
      <c r="B15" s="491">
        <f>ROW()</f>
        <v>15</v>
      </c>
      <c r="C15" s="491" t="str">
        <f>'Cover Page'!K6</f>
        <v>0421</v>
      </c>
      <c r="D15" s="491">
        <f>'Cover Page'!K4</f>
        <v>2020</v>
      </c>
      <c r="E15" s="491" t="s">
        <v>2031</v>
      </c>
      <c r="F15" s="491" t="s">
        <v>2185</v>
      </c>
      <c r="G15" s="491" t="s">
        <v>2186</v>
      </c>
      <c r="H15" s="505">
        <f>'Cover Page'!M38</f>
        <v>0</v>
      </c>
      <c r="K15" s="416"/>
      <c r="L15" s="417"/>
      <c r="M15" s="418"/>
      <c r="N15" s="419"/>
      <c r="O15" s="419"/>
      <c r="P15" s="419"/>
    </row>
    <row r="16" spans="1:16" ht="15">
      <c r="A16" s="491" t="str">
        <f t="shared" ca="1" si="0"/>
        <v>UFB-9 Accum. Absence Liability</v>
      </c>
      <c r="B16" s="491">
        <f>ROW()</f>
        <v>16</v>
      </c>
      <c r="C16" s="491" t="str">
        <f>'Cover Page'!K6</f>
        <v>0421</v>
      </c>
      <c r="D16" s="491">
        <f>'Cover Page'!K4</f>
        <v>2020</v>
      </c>
      <c r="E16" s="491" t="s">
        <v>2031</v>
      </c>
      <c r="F16" s="491" t="s">
        <v>2185</v>
      </c>
      <c r="G16" s="491" t="s">
        <v>2186</v>
      </c>
      <c r="H16" s="505">
        <f>'Cover Page'!M38</f>
        <v>0</v>
      </c>
      <c r="K16" s="416"/>
      <c r="L16" s="417"/>
      <c r="M16" s="418"/>
      <c r="N16" s="419"/>
      <c r="O16" s="419"/>
      <c r="P16" s="419"/>
    </row>
    <row r="17" spans="1:16" ht="15">
      <c r="A17" s="491" t="str">
        <f t="shared" ca="1" si="0"/>
        <v>UFB-9 Accum. Absence Liability</v>
      </c>
      <c r="B17" s="491">
        <f>ROW()</f>
        <v>17</v>
      </c>
      <c r="C17" s="491" t="str">
        <f>'Cover Page'!K6</f>
        <v>0421</v>
      </c>
      <c r="D17" s="491">
        <f>'Cover Page'!K4</f>
        <v>2020</v>
      </c>
      <c r="E17" s="491" t="s">
        <v>2031</v>
      </c>
      <c r="F17" s="491" t="s">
        <v>2185</v>
      </c>
      <c r="G17" s="491" t="s">
        <v>2186</v>
      </c>
      <c r="H17" s="505">
        <f>'Cover Page'!M38</f>
        <v>0</v>
      </c>
      <c r="K17" s="416"/>
      <c r="L17" s="417"/>
      <c r="M17" s="418"/>
      <c r="N17" s="419"/>
      <c r="O17" s="419"/>
      <c r="P17" s="419"/>
    </row>
    <row r="18" spans="1:16" ht="15">
      <c r="A18" s="491" t="str">
        <f t="shared" ca="1" si="0"/>
        <v>UFB-9 Accum. Absence Liability</v>
      </c>
      <c r="B18" s="491">
        <f>ROW()</f>
        <v>18</v>
      </c>
      <c r="C18" s="491" t="str">
        <f>'Cover Page'!K6</f>
        <v>0421</v>
      </c>
      <c r="D18" s="491">
        <f>'Cover Page'!K4</f>
        <v>2020</v>
      </c>
      <c r="E18" s="491" t="s">
        <v>2031</v>
      </c>
      <c r="F18" s="491" t="s">
        <v>2185</v>
      </c>
      <c r="G18" s="491" t="s">
        <v>2186</v>
      </c>
      <c r="H18" s="505">
        <f>'Cover Page'!M38</f>
        <v>0</v>
      </c>
      <c r="K18" s="421"/>
      <c r="L18" s="422"/>
      <c r="M18" s="423"/>
      <c r="N18" s="424"/>
      <c r="O18" s="424"/>
      <c r="P18" s="424"/>
    </row>
    <row r="19" spans="1:16" ht="15">
      <c r="A19" s="491" t="str">
        <f t="shared" ca="1" si="0"/>
        <v>UFB-9 Accum. Absence Liability</v>
      </c>
      <c r="B19" s="491">
        <f>ROW()</f>
        <v>19</v>
      </c>
      <c r="C19" s="491" t="str">
        <f>'Cover Page'!K6</f>
        <v>0421</v>
      </c>
      <c r="D19" s="491">
        <f>'Cover Page'!K4</f>
        <v>2020</v>
      </c>
      <c r="E19" s="491" t="s">
        <v>2031</v>
      </c>
      <c r="F19" s="491" t="s">
        <v>2185</v>
      </c>
      <c r="G19" s="491" t="s">
        <v>2186</v>
      </c>
      <c r="H19" s="505">
        <f>'Cover Page'!M38</f>
        <v>0</v>
      </c>
      <c r="K19" s="421"/>
      <c r="L19" s="422"/>
      <c r="M19" s="423"/>
      <c r="N19" s="424"/>
      <c r="O19" s="424"/>
      <c r="P19" s="424"/>
    </row>
    <row r="20" spans="1:16" ht="15">
      <c r="A20" s="491"/>
      <c r="B20" s="491"/>
      <c r="C20" s="491"/>
      <c r="D20" s="491"/>
      <c r="E20" s="491"/>
      <c r="F20" s="491"/>
      <c r="G20" s="491"/>
      <c r="H20" s="505"/>
      <c r="K20" s="629"/>
      <c r="L20" s="630"/>
      <c r="M20" s="631"/>
      <c r="N20" s="632"/>
      <c r="O20" s="632"/>
      <c r="P20" s="632"/>
    </row>
    <row r="21" spans="1:16" ht="15">
      <c r="A21" s="491"/>
      <c r="B21" s="491"/>
      <c r="C21" s="491"/>
      <c r="D21" s="491"/>
      <c r="E21" s="491"/>
      <c r="F21" s="491"/>
      <c r="G21" s="491"/>
      <c r="H21" s="505"/>
      <c r="K21" s="629"/>
      <c r="L21" s="630"/>
      <c r="M21" s="631"/>
      <c r="N21" s="632"/>
      <c r="O21" s="632"/>
      <c r="P21" s="632"/>
    </row>
    <row r="22" spans="1:16" ht="15">
      <c r="A22" s="491"/>
      <c r="B22" s="491"/>
      <c r="C22" s="491"/>
      <c r="D22" s="491"/>
      <c r="E22" s="491"/>
      <c r="F22" s="491"/>
      <c r="G22" s="491"/>
      <c r="H22" s="505"/>
      <c r="K22" s="629"/>
      <c r="L22" s="630"/>
      <c r="M22" s="631"/>
      <c r="N22" s="632"/>
      <c r="O22" s="632"/>
      <c r="P22" s="632"/>
    </row>
    <row r="23" spans="1:16" ht="15">
      <c r="A23" s="491"/>
      <c r="B23" s="491"/>
      <c r="C23" s="491"/>
      <c r="D23" s="491"/>
      <c r="E23" s="491"/>
      <c r="F23" s="491"/>
      <c r="G23" s="491"/>
      <c r="H23" s="505"/>
      <c r="K23" s="629"/>
      <c r="L23" s="630"/>
      <c r="M23" s="631"/>
      <c r="N23" s="632"/>
      <c r="O23" s="632"/>
      <c r="P23" s="632"/>
    </row>
    <row r="24" spans="1:16" ht="15">
      <c r="A24" s="491"/>
      <c r="B24" s="491"/>
      <c r="C24" s="491"/>
      <c r="D24" s="491"/>
      <c r="E24" s="491"/>
      <c r="F24" s="491"/>
      <c r="G24" s="491"/>
      <c r="H24" s="505"/>
      <c r="K24" s="629"/>
      <c r="L24" s="630"/>
      <c r="M24" s="631"/>
      <c r="N24" s="632"/>
      <c r="O24" s="632"/>
      <c r="P24" s="632"/>
    </row>
    <row r="25" spans="1:16" ht="15">
      <c r="A25" s="491"/>
      <c r="B25" s="491"/>
      <c r="C25" s="491"/>
      <c r="D25" s="491"/>
      <c r="E25" s="491"/>
      <c r="F25" s="491"/>
      <c r="G25" s="491"/>
      <c r="H25" s="505"/>
      <c r="K25" s="629"/>
      <c r="L25" s="630"/>
      <c r="M25" s="631"/>
      <c r="N25" s="632"/>
      <c r="O25" s="632"/>
      <c r="P25" s="632"/>
    </row>
    <row r="26" spans="1:16" ht="15">
      <c r="A26" s="491"/>
      <c r="B26" s="491"/>
      <c r="C26" s="491"/>
      <c r="D26" s="491"/>
      <c r="E26" s="491"/>
      <c r="F26" s="491"/>
      <c r="G26" s="491"/>
      <c r="H26" s="505"/>
      <c r="K26" s="629"/>
      <c r="L26" s="630"/>
      <c r="M26" s="631"/>
      <c r="N26" s="632"/>
      <c r="O26" s="632"/>
      <c r="P26" s="632"/>
    </row>
    <row r="27" spans="1:16" ht="15">
      <c r="A27" s="491"/>
      <c r="B27" s="491"/>
      <c r="C27" s="491"/>
      <c r="D27" s="491"/>
      <c r="E27" s="491"/>
      <c r="F27" s="491"/>
      <c r="G27" s="491"/>
      <c r="H27" s="505"/>
      <c r="K27" s="629"/>
      <c r="L27" s="630"/>
      <c r="M27" s="631"/>
      <c r="N27" s="632"/>
      <c r="O27" s="632"/>
      <c r="P27" s="632"/>
    </row>
    <row r="28" spans="1:16" ht="15">
      <c r="A28" s="491"/>
      <c r="B28" s="491"/>
      <c r="C28" s="491"/>
      <c r="D28" s="491"/>
      <c r="E28" s="491"/>
      <c r="F28" s="491"/>
      <c r="G28" s="491"/>
      <c r="H28" s="505"/>
      <c r="K28" s="629"/>
      <c r="L28" s="630"/>
      <c r="M28" s="631"/>
      <c r="N28" s="632"/>
      <c r="O28" s="632"/>
      <c r="P28" s="632"/>
    </row>
    <row r="29" spans="1:16" ht="15">
      <c r="A29" s="491"/>
      <c r="B29" s="491"/>
      <c r="C29" s="491"/>
      <c r="D29" s="491"/>
      <c r="E29" s="491"/>
      <c r="F29" s="491"/>
      <c r="G29" s="491"/>
      <c r="H29" s="505"/>
      <c r="K29" s="629"/>
      <c r="L29" s="630"/>
      <c r="M29" s="631"/>
      <c r="N29" s="632"/>
      <c r="O29" s="632"/>
      <c r="P29" s="632"/>
    </row>
    <row r="30" spans="1:16" ht="15">
      <c r="A30" s="491"/>
      <c r="B30" s="491"/>
      <c r="C30" s="491"/>
      <c r="D30" s="491"/>
      <c r="E30" s="491"/>
      <c r="F30" s="491"/>
      <c r="G30" s="491"/>
      <c r="H30" s="505"/>
      <c r="K30" s="629"/>
      <c r="L30" s="630"/>
      <c r="M30" s="631"/>
      <c r="N30" s="632"/>
      <c r="O30" s="632"/>
      <c r="P30" s="632"/>
    </row>
    <row r="31" spans="1:16" ht="15">
      <c r="A31" s="491"/>
      <c r="B31" s="491"/>
      <c r="C31" s="491"/>
      <c r="D31" s="491"/>
      <c r="E31" s="491"/>
      <c r="F31" s="491"/>
      <c r="G31" s="491"/>
      <c r="H31" s="505"/>
      <c r="K31" s="629"/>
      <c r="L31" s="630"/>
      <c r="M31" s="631"/>
      <c r="N31" s="632"/>
      <c r="O31" s="632"/>
      <c r="P31" s="632"/>
    </row>
    <row r="32" spans="1:16" ht="15">
      <c r="A32" s="491" t="str">
        <f t="shared" ca="1" si="0"/>
        <v>UFB-9 Accum. Absence Liability</v>
      </c>
      <c r="B32" s="491">
        <f>ROW()</f>
        <v>32</v>
      </c>
      <c r="C32" s="491" t="str">
        <f>'Cover Page'!K6</f>
        <v>0421</v>
      </c>
      <c r="D32" s="491">
        <f>'Cover Page'!K4</f>
        <v>2020</v>
      </c>
      <c r="E32" s="491" t="s">
        <v>2031</v>
      </c>
      <c r="F32" s="491" t="s">
        <v>2185</v>
      </c>
      <c r="G32" s="491" t="s">
        <v>2186</v>
      </c>
      <c r="H32" s="505">
        <f>'Cover Page'!M38</f>
        <v>0</v>
      </c>
      <c r="K32" s="421"/>
      <c r="L32" s="422"/>
      <c r="M32" s="423"/>
      <c r="N32" s="424"/>
      <c r="O32" s="424"/>
      <c r="P32" s="424"/>
    </row>
    <row r="33" spans="1:16" ht="15">
      <c r="A33" s="491" t="str">
        <f t="shared" ca="1" si="0"/>
        <v>UFB-9 Accum. Absence Liability</v>
      </c>
      <c r="B33" s="491">
        <f>ROW()</f>
        <v>33</v>
      </c>
      <c r="C33" s="491" t="str">
        <f>'Cover Page'!K6</f>
        <v>0421</v>
      </c>
      <c r="D33" s="491">
        <f>'Cover Page'!K4</f>
        <v>2020</v>
      </c>
      <c r="E33" s="491" t="s">
        <v>2031</v>
      </c>
      <c r="F33" s="491" t="s">
        <v>2185</v>
      </c>
      <c r="G33" s="491" t="s">
        <v>2186</v>
      </c>
      <c r="H33" s="505">
        <f>'Cover Page'!M38</f>
        <v>0</v>
      </c>
      <c r="K33" s="421"/>
      <c r="L33" s="422"/>
      <c r="M33" s="423"/>
      <c r="N33" s="424"/>
      <c r="O33" s="424"/>
      <c r="P33" s="424"/>
    </row>
    <row r="34" spans="1:16" ht="15">
      <c r="A34" s="491" t="str">
        <f t="shared" ca="1" si="0"/>
        <v>UFB-9 Accum. Absence Liability</v>
      </c>
      <c r="B34" s="491">
        <f>ROW()</f>
        <v>34</v>
      </c>
      <c r="C34" s="491" t="str">
        <f>'Cover Page'!K6</f>
        <v>0421</v>
      </c>
      <c r="D34" s="491">
        <f>'Cover Page'!K4</f>
        <v>2020</v>
      </c>
      <c r="E34" s="491" t="s">
        <v>2031</v>
      </c>
      <c r="F34" s="491" t="s">
        <v>2185</v>
      </c>
      <c r="G34" s="491" t="s">
        <v>2186</v>
      </c>
      <c r="H34" s="505">
        <f>'Cover Page'!M38</f>
        <v>0</v>
      </c>
      <c r="K34" s="421"/>
      <c r="L34" s="422"/>
      <c r="M34" s="423"/>
      <c r="N34" s="424"/>
      <c r="O34" s="424"/>
      <c r="P34" s="424"/>
    </row>
    <row r="35" spans="1:16" ht="15">
      <c r="A35" s="491" t="str">
        <f t="shared" ca="1" si="0"/>
        <v>UFB-9 Accum. Absence Liability</v>
      </c>
      <c r="B35" s="491">
        <f>ROW()</f>
        <v>35</v>
      </c>
      <c r="C35" s="491" t="str">
        <f>'Cover Page'!K6</f>
        <v>0421</v>
      </c>
      <c r="D35" s="491">
        <f>'Cover Page'!K4</f>
        <v>2020</v>
      </c>
      <c r="E35" s="491" t="s">
        <v>2031</v>
      </c>
      <c r="F35" s="491" t="s">
        <v>2185</v>
      </c>
      <c r="G35" s="491" t="s">
        <v>2186</v>
      </c>
      <c r="H35" s="505">
        <f>'Cover Page'!M38</f>
        <v>0</v>
      </c>
      <c r="K35" s="421"/>
      <c r="L35" s="422"/>
      <c r="M35" s="423"/>
      <c r="N35" s="424"/>
      <c r="O35" s="424"/>
      <c r="P35" s="424"/>
    </row>
    <row r="36" spans="1:16" ht="15">
      <c r="A36" s="491" t="str">
        <f t="shared" ca="1" si="0"/>
        <v>UFB-9 Accum. Absence Liability</v>
      </c>
      <c r="B36" s="491">
        <f>ROW()</f>
        <v>36</v>
      </c>
      <c r="C36" s="491" t="str">
        <f>'Cover Page'!K6</f>
        <v>0421</v>
      </c>
      <c r="D36" s="491">
        <f>'Cover Page'!K4</f>
        <v>2020</v>
      </c>
      <c r="E36" s="491" t="s">
        <v>2031</v>
      </c>
      <c r="F36" s="491" t="s">
        <v>2185</v>
      </c>
      <c r="G36" s="491" t="s">
        <v>2186</v>
      </c>
      <c r="H36" s="505">
        <f>'Cover Page'!M38</f>
        <v>0</v>
      </c>
      <c r="K36" s="416"/>
      <c r="L36" s="417"/>
      <c r="M36" s="418"/>
      <c r="N36" s="419"/>
      <c r="O36" s="419"/>
      <c r="P36" s="419"/>
    </row>
    <row r="37" spans="1:16" ht="15">
      <c r="A37" s="491" t="str">
        <f t="shared" ca="1" si="0"/>
        <v>UFB-9 Accum. Absence Liability</v>
      </c>
      <c r="B37" s="491">
        <f>ROW()</f>
        <v>37</v>
      </c>
      <c r="C37" s="491" t="str">
        <f>'Cover Page'!K6</f>
        <v>0421</v>
      </c>
      <c r="D37" s="491">
        <f>'Cover Page'!K4</f>
        <v>2020</v>
      </c>
      <c r="E37" s="491" t="s">
        <v>2031</v>
      </c>
      <c r="F37" s="491" t="s">
        <v>2185</v>
      </c>
      <c r="G37" s="491" t="s">
        <v>2186</v>
      </c>
      <c r="H37" s="505">
        <f>'Cover Page'!M38</f>
        <v>0</v>
      </c>
      <c r="K37" s="416"/>
      <c r="L37" s="417"/>
      <c r="M37" s="418"/>
      <c r="N37" s="419"/>
      <c r="O37" s="419"/>
      <c r="P37" s="419"/>
    </row>
    <row r="38" spans="1:16" ht="15">
      <c r="A38" s="491" t="str">
        <f t="shared" ca="1" si="0"/>
        <v>UFB-9 Accum. Absence Liability</v>
      </c>
      <c r="B38" s="491">
        <f>ROW()</f>
        <v>38</v>
      </c>
      <c r="C38" s="491" t="str">
        <f>'Cover Page'!K6</f>
        <v>0421</v>
      </c>
      <c r="D38" s="491">
        <f>'Cover Page'!K4</f>
        <v>2020</v>
      </c>
      <c r="E38" s="491" t="s">
        <v>2031</v>
      </c>
      <c r="F38" s="491" t="s">
        <v>2185</v>
      </c>
      <c r="G38" s="491" t="s">
        <v>2187</v>
      </c>
      <c r="H38" s="505">
        <f>'Cover Page'!M38</f>
        <v>0</v>
      </c>
      <c r="K38" s="282" t="s">
        <v>175</v>
      </c>
      <c r="L38" s="281">
        <f>SUM(L6:L37)</f>
        <v>0</v>
      </c>
      <c r="M38" s="280">
        <f>SUM(M6:M37)</f>
        <v>0</v>
      </c>
      <c r="N38" s="284"/>
      <c r="O38" s="283"/>
      <c r="P38" s="283"/>
    </row>
    <row r="39" spans="1:16">
      <c r="A39" s="491" t="str">
        <f t="shared" ca="1" si="0"/>
        <v>UFB-9 Accum. Absence Liability</v>
      </c>
      <c r="B39" s="491">
        <f>ROW()</f>
        <v>39</v>
      </c>
      <c r="C39" s="491" t="str">
        <f>'Cover Page'!K6</f>
        <v>0421</v>
      </c>
      <c r="D39" s="491">
        <f>'Cover Page'!K4</f>
        <v>2020</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0421</v>
      </c>
      <c r="D40" s="491">
        <f>'Cover Page'!K4</f>
        <v>2020</v>
      </c>
      <c r="E40" s="491" t="s">
        <v>2031</v>
      </c>
      <c r="F40" s="491" t="s">
        <v>2185</v>
      </c>
      <c r="G40" s="491" t="s">
        <v>2189</v>
      </c>
      <c r="H40" s="505">
        <f>'Cover Page'!M38</f>
        <v>0</v>
      </c>
      <c r="K40" s="186"/>
      <c r="L40" s="187" t="str">
        <f>"Total Funds Reserved as of end of "&amp;'Cover Page'!K4-1</f>
        <v>Total Funds Reserved as of end of 2019</v>
      </c>
      <c r="M40" s="425"/>
    </row>
    <row r="41" spans="1:16">
      <c r="A41" s="491" t="str">
        <f t="shared" ca="1" si="0"/>
        <v>UFB-9 Accum. Absence Liability</v>
      </c>
      <c r="B41" s="491">
        <f>ROW()</f>
        <v>41</v>
      </c>
      <c r="C41" s="491" t="str">
        <f>'Cover Page'!K6</f>
        <v>0421</v>
      </c>
      <c r="D41" s="491">
        <f>'Cover Page'!K4</f>
        <v>2020</v>
      </c>
      <c r="E41" s="491" t="s">
        <v>2031</v>
      </c>
      <c r="F41" s="491" t="s">
        <v>2185</v>
      </c>
      <c r="G41" s="491" t="s">
        <v>2188</v>
      </c>
      <c r="H41" s="505">
        <f>'Cover Page'!M38</f>
        <v>0</v>
      </c>
      <c r="K41" s="188"/>
      <c r="L41" s="187" t="str">
        <f>"Total Funds Appropriated in "&amp;'Cover Page'!K4</f>
        <v>Total Funds Appropriated in 2020</v>
      </c>
      <c r="M41" s="425"/>
    </row>
    <row r="42" spans="1:16" ht="14.25">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1"/>
  <sheetViews>
    <sheetView topLeftCell="J1" workbookViewId="0">
      <selection activeCell="S8" sqref="S8"/>
    </sheetView>
  </sheetViews>
  <sheetFormatPr defaultColWidth="10.5703125" defaultRowHeight="12.75"/>
  <cols>
    <col min="1" max="9" width="10.5703125" style="1" hidden="1" customWidth="1"/>
    <col min="10" max="10" width="25.85546875" style="1" customWidth="1"/>
    <col min="11" max="11" width="17.5703125" style="1" customWidth="1"/>
    <col min="12" max="12" width="17.140625" style="1" customWidth="1"/>
    <col min="13" max="13" width="18.5703125" style="1" customWidth="1"/>
    <col min="14" max="14" width="0.85546875" style="1" customWidth="1"/>
    <col min="15" max="15" width="28" style="1" customWidth="1"/>
    <col min="16" max="16" width="16.85546875" style="1" customWidth="1"/>
    <col min="17" max="17" width="15.42578125" style="1" customWidth="1"/>
    <col min="18" max="18" width="15.140625" style="1" customWidth="1"/>
    <col min="19" max="19" width="16.85546875" style="1" customWidth="1"/>
    <col min="20" max="16384" width="10.5703125" style="1"/>
  </cols>
  <sheetData>
    <row r="1" spans="1:19" ht="18.75">
      <c r="A1" s="491" t="str">
        <f ca="1">MID(CELL("filename",A2),FIND("]",CELL("filename",A2))+1,256)</f>
        <v>UFB-10 Debt</v>
      </c>
      <c r="B1" s="491">
        <f>ROW()</f>
        <v>1</v>
      </c>
      <c r="C1" s="491" t="str">
        <f>'Cover Page'!K6</f>
        <v>0421</v>
      </c>
      <c r="D1" s="491">
        <f>'Cover Page'!K4</f>
        <v>2020</v>
      </c>
      <c r="E1" s="491" t="s">
        <v>2031</v>
      </c>
      <c r="F1" s="491" t="s">
        <v>2190</v>
      </c>
      <c r="G1" s="491"/>
      <c r="H1" s="505">
        <f>'Cover Page'!M38</f>
        <v>0</v>
      </c>
      <c r="J1" s="685" t="s">
        <v>272</v>
      </c>
      <c r="K1" s="685"/>
      <c r="L1" s="685"/>
      <c r="M1" s="685"/>
      <c r="N1" s="685"/>
      <c r="O1" s="685"/>
      <c r="P1" s="685"/>
      <c r="Q1" s="685"/>
      <c r="R1" s="685"/>
      <c r="S1" s="685"/>
    </row>
    <row r="2" spans="1:19" s="41" customFormat="1" ht="15.75">
      <c r="A2" s="491" t="str">
        <f ca="1">MID(CELL("filename",A2),FIND("]",CELL("filename",A2))+1,256)</f>
        <v>UFB-10 Debt</v>
      </c>
      <c r="B2" s="491">
        <f>ROW()</f>
        <v>2</v>
      </c>
      <c r="C2" s="491" t="str">
        <f>'Cover Page'!K6</f>
        <v>0421</v>
      </c>
      <c r="D2" s="491">
        <f>'Cover Page'!K4</f>
        <v>2020</v>
      </c>
      <c r="E2" s="491" t="s">
        <v>2031</v>
      </c>
      <c r="F2" s="491" t="s">
        <v>2190</v>
      </c>
      <c r="G2" s="491" t="s">
        <v>121</v>
      </c>
      <c r="H2" s="505">
        <f>'Cover Page'!M38</f>
        <v>0</v>
      </c>
      <c r="J2" s="374"/>
      <c r="K2" s="375" t="s">
        <v>213</v>
      </c>
      <c r="L2" s="375"/>
      <c r="M2" s="375" t="s">
        <v>214</v>
      </c>
      <c r="N2" s="376"/>
      <c r="O2" s="377"/>
      <c r="P2" s="378" t="s">
        <v>30</v>
      </c>
      <c r="Q2" s="562" t="str">
        <f>""&amp;'Cover Page'!K4+1</f>
        <v>2021</v>
      </c>
      <c r="R2" s="562" t="str">
        <f>""&amp;'Cover Page'!K4+2&amp;" "</f>
        <v xml:space="preserve">2022 </v>
      </c>
      <c r="S2" s="379" t="s">
        <v>215</v>
      </c>
    </row>
    <row r="3" spans="1:19" s="41" customFormat="1" ht="15.75">
      <c r="A3" s="491" t="str">
        <f t="shared" ref="A3:A34" ca="1" si="0">MID(CELL("filename",A3),FIND("]",CELL("filename",A3))+1,256)</f>
        <v>UFB-10 Debt</v>
      </c>
      <c r="B3" s="491">
        <f>ROW()</f>
        <v>3</v>
      </c>
      <c r="C3" s="491" t="str">
        <f>'Cover Page'!K6</f>
        <v>0421</v>
      </c>
      <c r="D3" s="491">
        <f>'Cover Page'!K4</f>
        <v>2020</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0421</v>
      </c>
      <c r="D4" s="491">
        <f>'Cover Page'!K4</f>
        <v>2020</v>
      </c>
      <c r="E4" s="491" t="s">
        <v>2031</v>
      </c>
      <c r="F4" s="491" t="s">
        <v>2190</v>
      </c>
      <c r="G4" s="491" t="s">
        <v>121</v>
      </c>
      <c r="H4" s="505">
        <f>'Cover Page'!M38</f>
        <v>0</v>
      </c>
      <c r="J4" s="212"/>
      <c r="K4" s="213"/>
      <c r="L4" s="214"/>
      <c r="M4" s="214"/>
      <c r="N4" s="215"/>
      <c r="O4" s="216"/>
      <c r="P4" s="216"/>
      <c r="Q4" s="216"/>
      <c r="R4" s="216"/>
      <c r="S4" s="217"/>
    </row>
    <row r="5" spans="1:19" ht="15.75">
      <c r="A5" s="491" t="str">
        <f t="shared" ca="1" si="0"/>
        <v>UFB-10 Debt</v>
      </c>
      <c r="B5" s="491">
        <f>ROW()</f>
        <v>5</v>
      </c>
      <c r="C5" s="491" t="str">
        <f>'Cover Page'!K6</f>
        <v>0421</v>
      </c>
      <c r="D5" s="491">
        <f>'Cover Page'!K4</f>
        <v>2020</v>
      </c>
      <c r="E5" s="491" t="s">
        <v>2031</v>
      </c>
      <c r="F5" s="491" t="s">
        <v>2190</v>
      </c>
      <c r="G5" s="491" t="s">
        <v>121</v>
      </c>
      <c r="H5" s="505">
        <f>'Cover Page'!M38</f>
        <v>0</v>
      </c>
      <c r="J5" s="26"/>
      <c r="K5" s="218"/>
      <c r="L5" s="219"/>
      <c r="M5" s="219"/>
      <c r="N5" s="221"/>
      <c r="R5" s="20"/>
      <c r="S5" s="12"/>
    </row>
    <row r="6" spans="1:19" ht="15.75">
      <c r="A6" s="491" t="str">
        <f t="shared" ca="1" si="0"/>
        <v>UFB-10 Debt</v>
      </c>
      <c r="B6" s="491">
        <f>ROW()</f>
        <v>6</v>
      </c>
      <c r="C6" s="491" t="str">
        <f>'Cover Page'!K6</f>
        <v>0421</v>
      </c>
      <c r="D6" s="491">
        <f>'Cover Page'!K4</f>
        <v>2020</v>
      </c>
      <c r="E6" s="491" t="s">
        <v>2031</v>
      </c>
      <c r="F6" s="491" t="s">
        <v>2190</v>
      </c>
      <c r="G6" s="491" t="s">
        <v>2071</v>
      </c>
      <c r="H6" s="505">
        <f>'Cover Page'!M38</f>
        <v>0</v>
      </c>
      <c r="I6" s="1" t="s">
        <v>2202</v>
      </c>
      <c r="J6" s="26" t="s">
        <v>218</v>
      </c>
      <c r="K6" s="285">
        <v>1875000</v>
      </c>
      <c r="L6" s="285">
        <v>1875000</v>
      </c>
      <c r="M6" s="426">
        <f>K6-L6</f>
        <v>0</v>
      </c>
      <c r="N6" s="221"/>
      <c r="O6" s="26" t="s">
        <v>219</v>
      </c>
      <c r="P6" s="285">
        <v>55000</v>
      </c>
      <c r="Q6" s="285">
        <v>55000</v>
      </c>
      <c r="R6" s="285">
        <v>60000</v>
      </c>
      <c r="S6" s="285">
        <f>635000-P6-Q6-R6</f>
        <v>465000</v>
      </c>
    </row>
    <row r="7" spans="1:19" ht="15.75">
      <c r="A7" s="491" t="str">
        <f t="shared" ca="1" si="0"/>
        <v>UFB-10 Debt</v>
      </c>
      <c r="B7" s="491">
        <f>ROW()</f>
        <v>7</v>
      </c>
      <c r="C7" s="491" t="str">
        <f>'Cover Page'!K6</f>
        <v>0421</v>
      </c>
      <c r="D7" s="491">
        <f>'Cover Page'!K4</f>
        <v>2020</v>
      </c>
      <c r="E7" s="491" t="s">
        <v>2031</v>
      </c>
      <c r="F7" s="491" t="s">
        <v>2190</v>
      </c>
      <c r="G7" s="491" t="s">
        <v>2072</v>
      </c>
      <c r="H7" s="505">
        <f>'Cover Page'!M38</f>
        <v>0</v>
      </c>
      <c r="I7" s="1" t="s">
        <v>2203</v>
      </c>
      <c r="J7" s="26" t="s">
        <v>220</v>
      </c>
      <c r="K7" s="285"/>
      <c r="L7" s="285"/>
      <c r="M7" s="426">
        <f>K7-L7</f>
        <v>0</v>
      </c>
      <c r="N7" s="221"/>
      <c r="O7" s="26" t="s">
        <v>221</v>
      </c>
      <c r="P7" s="285">
        <v>15000</v>
      </c>
      <c r="Q7" s="285">
        <v>10400</v>
      </c>
      <c r="R7" s="285">
        <v>9575</v>
      </c>
      <c r="S7" s="285">
        <f>68350-P7-Q7-R7</f>
        <v>33375</v>
      </c>
    </row>
    <row r="8" spans="1:19" ht="15.75">
      <c r="A8" s="491" t="str">
        <f t="shared" ca="1" si="0"/>
        <v>UFB-10 Debt</v>
      </c>
      <c r="B8" s="491">
        <f>ROW()</f>
        <v>8</v>
      </c>
      <c r="C8" s="491" t="str">
        <f>'Cover Page'!K6</f>
        <v>0421</v>
      </c>
      <c r="D8" s="491">
        <f>'Cover Page'!K4</f>
        <v>2020</v>
      </c>
      <c r="E8" s="491" t="s">
        <v>2031</v>
      </c>
      <c r="F8" s="491" t="s">
        <v>2190</v>
      </c>
      <c r="G8" s="491" t="s">
        <v>121</v>
      </c>
      <c r="H8" s="505">
        <f>'Cover Page'!M38</f>
        <v>0</v>
      </c>
      <c r="I8" s="1" t="s">
        <v>2204</v>
      </c>
      <c r="J8" s="26"/>
      <c r="K8" s="286"/>
      <c r="L8" s="286"/>
      <c r="M8" s="286"/>
      <c r="N8" s="221"/>
      <c r="O8" s="26" t="s">
        <v>222</v>
      </c>
      <c r="P8" s="285">
        <v>32000</v>
      </c>
      <c r="Q8" s="664"/>
      <c r="R8" s="664"/>
      <c r="S8" s="664"/>
    </row>
    <row r="9" spans="1:19" ht="15.75">
      <c r="A9" s="491" t="str">
        <f t="shared" ca="1" si="0"/>
        <v>UFB-10 Debt</v>
      </c>
      <c r="B9" s="491">
        <f>ROW()</f>
        <v>9</v>
      </c>
      <c r="C9" s="491" t="str">
        <f>'Cover Page'!K6</f>
        <v>0421</v>
      </c>
      <c r="D9" s="491">
        <f>'Cover Page'!K4</f>
        <v>2020</v>
      </c>
      <c r="E9" s="491" t="s">
        <v>2031</v>
      </c>
      <c r="F9" s="491" t="s">
        <v>2190</v>
      </c>
      <c r="G9" s="491" t="s">
        <v>121</v>
      </c>
      <c r="H9" s="505">
        <f>'Cover Page'!M38</f>
        <v>0</v>
      </c>
      <c r="I9" s="1" t="s">
        <v>2205</v>
      </c>
      <c r="J9" s="26" t="s">
        <v>223</v>
      </c>
      <c r="K9" s="286"/>
      <c r="L9" s="286"/>
      <c r="M9" s="286"/>
      <c r="N9" s="221"/>
      <c r="O9" s="26" t="s">
        <v>224</v>
      </c>
      <c r="P9" s="285">
        <v>15500</v>
      </c>
      <c r="Q9" s="664"/>
      <c r="R9" s="664"/>
      <c r="S9" s="664"/>
    </row>
    <row r="10" spans="1:19" ht="15.75">
      <c r="A10" s="491" t="str">
        <f t="shared" ref="A10:A15" ca="1" si="1">MID(CELL("filename",A10),FIND("]",CELL("filename",A10))+1,256)</f>
        <v>UFB-10 Debt</v>
      </c>
      <c r="B10" s="491">
        <f>ROW()</f>
        <v>10</v>
      </c>
      <c r="C10" s="491" t="str">
        <f>'Cover Page'!K6</f>
        <v>0421</v>
      </c>
      <c r="D10" s="491">
        <f>'Cover Page'!K4</f>
        <v>2020</v>
      </c>
      <c r="E10" s="491" t="s">
        <v>2031</v>
      </c>
      <c r="F10" s="491" t="s">
        <v>2190</v>
      </c>
      <c r="G10" s="491" t="s">
        <v>2191</v>
      </c>
      <c r="H10" s="505">
        <f>'Cover Page'!M38</f>
        <v>0</v>
      </c>
      <c r="I10" s="1" t="s">
        <v>2206</v>
      </c>
      <c r="J10" s="634" t="str">
        <f>'UFB-2 Revenue Summary'!T3</f>
        <v>SEWER</v>
      </c>
      <c r="K10" s="285">
        <v>1845000</v>
      </c>
      <c r="L10" s="285">
        <v>1845000</v>
      </c>
      <c r="M10" s="426">
        <f t="shared" ref="M10:M15" si="2">K10-L10</f>
        <v>0</v>
      </c>
      <c r="N10" s="221"/>
      <c r="O10" s="26" t="s">
        <v>225</v>
      </c>
      <c r="P10" s="285">
        <v>115000</v>
      </c>
      <c r="Q10" s="285">
        <v>120000</v>
      </c>
      <c r="R10" s="285">
        <v>120000</v>
      </c>
      <c r="S10" s="285">
        <f>1311000-P10-Q10-R10</f>
        <v>956000</v>
      </c>
    </row>
    <row r="11" spans="1:19" ht="15" customHeight="1">
      <c r="A11" s="491" t="str">
        <f t="shared" ca="1" si="1"/>
        <v>UFB-10 Debt</v>
      </c>
      <c r="B11" s="491">
        <f>ROW()</f>
        <v>11</v>
      </c>
      <c r="C11" s="491" t="str">
        <f>'Cover Page'!K6</f>
        <v>0421</v>
      </c>
      <c r="D11" s="491">
        <f>'Cover Page'!K4</f>
        <v>2020</v>
      </c>
      <c r="E11" s="491" t="s">
        <v>2031</v>
      </c>
      <c r="F11" s="491" t="s">
        <v>2190</v>
      </c>
      <c r="G11" s="491" t="s">
        <v>2191</v>
      </c>
      <c r="H11" s="505">
        <f>'Cover Page'!M38</f>
        <v>0</v>
      </c>
      <c r="I11" s="1" t="s">
        <v>2207</v>
      </c>
      <c r="J11" s="634">
        <f>'UFB-2 Revenue Summary'!U3</f>
        <v>0</v>
      </c>
      <c r="K11" s="285"/>
      <c r="L11" s="285"/>
      <c r="M11" s="426">
        <f t="shared" si="2"/>
        <v>0</v>
      </c>
      <c r="N11" s="31"/>
      <c r="O11" s="26" t="s">
        <v>226</v>
      </c>
      <c r="P11" s="285">
        <v>23000</v>
      </c>
      <c r="Q11" s="285">
        <v>21445</v>
      </c>
      <c r="R11" s="285">
        <v>19645</v>
      </c>
      <c r="S11" s="285">
        <f>140775-P11-Q11-R11</f>
        <v>76685</v>
      </c>
    </row>
    <row r="12" spans="1:19" ht="15.75">
      <c r="A12" s="491" t="str">
        <f t="shared" ca="1" si="1"/>
        <v>UFB-10 Debt</v>
      </c>
      <c r="B12" s="491">
        <f>ROW()</f>
        <v>12</v>
      </c>
      <c r="C12" s="491" t="str">
        <f>'Cover Page'!K6</f>
        <v>0421</v>
      </c>
      <c r="D12" s="491">
        <f>'Cover Page'!K4</f>
        <v>2020</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75">
      <c r="A13" s="491" t="str">
        <f t="shared" ca="1" si="1"/>
        <v>UFB-10 Debt</v>
      </c>
      <c r="B13" s="491">
        <f>ROW()</f>
        <v>13</v>
      </c>
      <c r="C13" s="491" t="str">
        <f>'Cover Page'!K6</f>
        <v>0421</v>
      </c>
      <c r="D13" s="491">
        <f>'Cover Page'!K4</f>
        <v>2020</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75">
      <c r="A14" s="491" t="str">
        <f t="shared" ca="1" si="1"/>
        <v>UFB-10 Debt</v>
      </c>
      <c r="B14" s="491">
        <f>ROW()</f>
        <v>14</v>
      </c>
      <c r="C14" s="491" t="str">
        <f>'Cover Page'!K6</f>
        <v>0421</v>
      </c>
      <c r="D14" s="491">
        <f>'Cover Page'!K4</f>
        <v>2020</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5" thickBot="1">
      <c r="A15" s="491" t="str">
        <f t="shared" ca="1" si="1"/>
        <v>UFB-10 Debt</v>
      </c>
      <c r="B15" s="491">
        <f>ROW()</f>
        <v>15</v>
      </c>
      <c r="C15" s="491" t="str">
        <f>'Cover Page'!K6</f>
        <v>0421</v>
      </c>
      <c r="D15" s="491">
        <f>'Cover Page'!K4</f>
        <v>2020</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255500</v>
      </c>
      <c r="Q15" s="430">
        <f>SUM(Q6:Q13)</f>
        <v>206845</v>
      </c>
      <c r="R15" s="430">
        <f>SUM(R6:R13)</f>
        <v>209220</v>
      </c>
      <c r="S15" s="430">
        <f>SUM(S6:S13)</f>
        <v>1531060</v>
      </c>
    </row>
    <row r="16" spans="1:19" ht="16.5" thickTop="1">
      <c r="A16" s="491" t="str">
        <f t="shared" ca="1" si="0"/>
        <v>UFB-10 Debt</v>
      </c>
      <c r="B16" s="491">
        <f>ROW()</f>
        <v>16</v>
      </c>
      <c r="C16" s="491" t="str">
        <f>'Cover Page'!K6</f>
        <v>0421</v>
      </c>
      <c r="D16" s="491">
        <f>'Cover Page'!K4</f>
        <v>2020</v>
      </c>
      <c r="E16" s="491" t="s">
        <v>2031</v>
      </c>
      <c r="F16" s="491" t="s">
        <v>2190</v>
      </c>
      <c r="G16" s="491"/>
      <c r="H16" s="505">
        <f>'Cover Page'!M38</f>
        <v>0</v>
      </c>
      <c r="J16" s="222" t="s">
        <v>229</v>
      </c>
      <c r="K16" s="286"/>
      <c r="L16" s="286"/>
      <c r="M16" s="286"/>
      <c r="N16" s="221"/>
      <c r="O16" s="220"/>
      <c r="P16" s="220"/>
      <c r="Q16" s="220"/>
      <c r="R16" s="220"/>
      <c r="S16" s="224"/>
    </row>
    <row r="17" spans="1:19" ht="15.75">
      <c r="A17" s="491" t="str">
        <f t="shared" ca="1" si="0"/>
        <v>UFB-10 Debt</v>
      </c>
      <c r="B17" s="491">
        <f>ROW()</f>
        <v>17</v>
      </c>
      <c r="C17" s="491" t="str">
        <f>'Cover Page'!K6</f>
        <v>0421</v>
      </c>
      <c r="D17" s="491">
        <f>'Cover Page'!K4</f>
        <v>2020</v>
      </c>
      <c r="E17" s="491" t="s">
        <v>2031</v>
      </c>
      <c r="F17" s="491" t="s">
        <v>2190</v>
      </c>
      <c r="G17" s="491" t="s">
        <v>2192</v>
      </c>
      <c r="H17" s="505">
        <f>'Cover Page'!M38</f>
        <v>0</v>
      </c>
      <c r="I17" s="1" t="s">
        <v>2211</v>
      </c>
      <c r="J17" s="26" t="s">
        <v>230</v>
      </c>
      <c r="K17" s="285">
        <v>2084022.22</v>
      </c>
      <c r="L17" s="650"/>
      <c r="M17" s="426">
        <f t="shared" ref="M17:M20" si="4">K17-L17</f>
        <v>2084022.22</v>
      </c>
      <c r="N17" s="221"/>
      <c r="O17" s="220" t="s">
        <v>233</v>
      </c>
      <c r="P17" s="426">
        <f>P6+P8+P10+P12</f>
        <v>202000</v>
      </c>
      <c r="Q17" s="426">
        <f t="shared" ref="Q17:S17" si="5">Q6+Q8+Q10+Q12</f>
        <v>175000</v>
      </c>
      <c r="R17" s="426">
        <f t="shared" si="5"/>
        <v>180000</v>
      </c>
      <c r="S17" s="426">
        <f t="shared" si="5"/>
        <v>1421000</v>
      </c>
    </row>
    <row r="18" spans="1:19" ht="15.75">
      <c r="A18" s="491" t="str">
        <f t="shared" ca="1" si="0"/>
        <v>UFB-10 Debt</v>
      </c>
      <c r="B18" s="491">
        <f>ROW()</f>
        <v>18</v>
      </c>
      <c r="C18" s="491" t="str">
        <f>'Cover Page'!K6</f>
        <v>0421</v>
      </c>
      <c r="D18" s="491">
        <f>'Cover Page'!K4</f>
        <v>2020</v>
      </c>
      <c r="E18" s="491" t="s">
        <v>2031</v>
      </c>
      <c r="F18" s="491" t="s">
        <v>2190</v>
      </c>
      <c r="G18" s="491" t="s">
        <v>2193</v>
      </c>
      <c r="H18" s="505">
        <f>'Cover Page'!M38</f>
        <v>0</v>
      </c>
      <c r="I18" s="1" t="s">
        <v>2212</v>
      </c>
      <c r="J18" s="26" t="s">
        <v>231</v>
      </c>
      <c r="K18" s="285">
        <v>597000</v>
      </c>
      <c r="L18" s="650"/>
      <c r="M18" s="426">
        <f t="shared" si="4"/>
        <v>597000</v>
      </c>
      <c r="N18" s="221"/>
      <c r="O18" s="220" t="s">
        <v>235</v>
      </c>
      <c r="P18" s="426">
        <f>P7+P9+P11+P13</f>
        <v>53500</v>
      </c>
      <c r="Q18" s="426">
        <f t="shared" ref="Q18:S18" si="6">Q7+Q9+Q11+Q13</f>
        <v>31845</v>
      </c>
      <c r="R18" s="426">
        <f t="shared" si="6"/>
        <v>29220</v>
      </c>
      <c r="S18" s="426">
        <f t="shared" si="6"/>
        <v>110060</v>
      </c>
    </row>
    <row r="19" spans="1:19" ht="16.5" thickBot="1">
      <c r="A19" s="491" t="str">
        <f t="shared" ca="1" si="0"/>
        <v>UFB-10 Debt</v>
      </c>
      <c r="B19" s="491">
        <f>ROW()</f>
        <v>19</v>
      </c>
      <c r="C19" s="491" t="str">
        <f>'Cover Page'!K6</f>
        <v>0421</v>
      </c>
      <c r="D19" s="491">
        <f>'Cover Page'!K4</f>
        <v>2020</v>
      </c>
      <c r="E19" s="491" t="s">
        <v>2031</v>
      </c>
      <c r="F19" s="491" t="s">
        <v>2190</v>
      </c>
      <c r="G19" s="491" t="s">
        <v>2194</v>
      </c>
      <c r="H19" s="505">
        <f>'Cover Page'!M38</f>
        <v>0</v>
      </c>
      <c r="I19" s="1" t="s">
        <v>2213</v>
      </c>
      <c r="J19" s="26" t="s">
        <v>232</v>
      </c>
      <c r="K19" s="285">
        <v>1311000</v>
      </c>
      <c r="L19" s="650"/>
      <c r="M19" s="426">
        <f t="shared" si="4"/>
        <v>1311000</v>
      </c>
      <c r="N19" s="221"/>
      <c r="O19" s="8" t="s">
        <v>262</v>
      </c>
      <c r="P19" s="649">
        <f>+P15/'UFB-3 Appropriations Summary'!R28</f>
        <v>4.7411393579513822E-2</v>
      </c>
      <c r="Q19" s="317"/>
      <c r="R19" s="318"/>
      <c r="S19" s="381"/>
    </row>
    <row r="20" spans="1:19" ht="16.5" thickTop="1">
      <c r="A20" s="491" t="str">
        <f t="shared" ca="1" si="0"/>
        <v>UFB-10 Debt</v>
      </c>
      <c r="B20" s="491">
        <f>ROW()</f>
        <v>20</v>
      </c>
      <c r="C20" s="491" t="str">
        <f>'Cover Page'!K6</f>
        <v>0421</v>
      </c>
      <c r="D20" s="491">
        <f>'Cover Page'!K4</f>
        <v>2020</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75">
      <c r="A21" s="491" t="str">
        <f t="shared" ca="1" si="0"/>
        <v>UFB-10 Debt</v>
      </c>
      <c r="B21" s="491">
        <f>ROW()</f>
        <v>21</v>
      </c>
      <c r="C21" s="491" t="str">
        <f>'Cover Page'!K6</f>
        <v>0421</v>
      </c>
      <c r="D21" s="491">
        <f>'Cover Page'!K4</f>
        <v>2020</v>
      </c>
      <c r="E21" s="491" t="s">
        <v>2031</v>
      </c>
      <c r="F21" s="491" t="s">
        <v>2190</v>
      </c>
      <c r="G21" s="491" t="s">
        <v>121</v>
      </c>
      <c r="H21" s="505">
        <f>'Cover Page'!M38</f>
        <v>0</v>
      </c>
      <c r="J21" s="39"/>
      <c r="K21" s="287"/>
      <c r="L21" s="288"/>
      <c r="M21" s="288"/>
      <c r="N21" s="221"/>
      <c r="O21" s="231" t="s">
        <v>237</v>
      </c>
      <c r="P21" s="732" t="s">
        <v>238</v>
      </c>
      <c r="Q21" s="733"/>
      <c r="R21" s="733"/>
      <c r="S21" s="734"/>
    </row>
    <row r="22" spans="1:19" ht="16.5" thickBot="1">
      <c r="A22" s="491" t="str">
        <f t="shared" ca="1" si="0"/>
        <v>UFB-10 Debt</v>
      </c>
      <c r="B22" s="491">
        <f>ROW()</f>
        <v>22</v>
      </c>
      <c r="C22" s="491" t="str">
        <f>'Cover Page'!K6</f>
        <v>0421</v>
      </c>
      <c r="D22" s="491">
        <f>'Cover Page'!K4</f>
        <v>2020</v>
      </c>
      <c r="E22" s="491" t="s">
        <v>2031</v>
      </c>
      <c r="F22" s="491" t="s">
        <v>2190</v>
      </c>
      <c r="G22" s="491" t="s">
        <v>2196</v>
      </c>
      <c r="H22" s="505">
        <f>'Cover Page'!M38</f>
        <v>0</v>
      </c>
      <c r="I22" s="1" t="s">
        <v>2214</v>
      </c>
      <c r="J22" s="225" t="s">
        <v>236</v>
      </c>
      <c r="K22" s="426">
        <f>SUM(K6:K20)</f>
        <v>7712022.2199999997</v>
      </c>
      <c r="L22" s="426">
        <f>SUM(L6:L20)</f>
        <v>3720000</v>
      </c>
      <c r="M22" s="426">
        <f>SUM(M6:M20)</f>
        <v>3992022.2199999997</v>
      </c>
      <c r="N22" s="221"/>
      <c r="O22" s="232" t="s">
        <v>239</v>
      </c>
      <c r="P22" s="285"/>
      <c r="Q22" s="285"/>
      <c r="R22" s="292"/>
      <c r="S22" s="285"/>
    </row>
    <row r="23" spans="1:19" ht="16.5" thickTop="1">
      <c r="A23" s="491" t="str">
        <f t="shared" ca="1" si="0"/>
        <v>UFB-10 Debt</v>
      </c>
      <c r="B23" s="491">
        <f>ROW()</f>
        <v>23</v>
      </c>
      <c r="C23" s="491" t="str">
        <f>'Cover Page'!K6</f>
        <v>0421</v>
      </c>
      <c r="D23" s="491">
        <f>'Cover Page'!K4</f>
        <v>2020</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75">
      <c r="A24" s="491" t="str">
        <f t="shared" ca="1" si="0"/>
        <v>UFB-10 Debt</v>
      </c>
      <c r="B24" s="491">
        <f>ROW()</f>
        <v>24</v>
      </c>
      <c r="C24" s="491" t="str">
        <f>'Cover Page'!K6</f>
        <v>0421</v>
      </c>
      <c r="D24" s="491">
        <f>'Cover Page'!K4</f>
        <v>2020</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5" thickBot="1">
      <c r="A25" s="491" t="str">
        <f t="shared" ca="1" si="0"/>
        <v>UFB-10 Debt</v>
      </c>
      <c r="B25" s="491">
        <f>ROW()</f>
        <v>25</v>
      </c>
      <c r="C25" s="491" t="str">
        <f>'Cover Page'!K6</f>
        <v>0421</v>
      </c>
      <c r="D25" s="491">
        <f>'Cover Page'!K4</f>
        <v>2020</v>
      </c>
      <c r="E25" s="491" t="s">
        <v>2031</v>
      </c>
      <c r="F25" s="491" t="s">
        <v>2190</v>
      </c>
      <c r="G25" s="491" t="s">
        <v>2197</v>
      </c>
      <c r="H25" s="505">
        <f>'Cover Page'!M38</f>
        <v>0</v>
      </c>
      <c r="I25" s="1" t="s">
        <v>2217</v>
      </c>
      <c r="J25" s="233" t="s">
        <v>240</v>
      </c>
      <c r="K25" s="427">
        <v>2945</v>
      </c>
      <c r="L25" s="220"/>
      <c r="M25" s="220"/>
      <c r="N25" s="221"/>
      <c r="O25" s="232" t="s">
        <v>243</v>
      </c>
      <c r="P25" s="285"/>
      <c r="Q25" s="285"/>
      <c r="R25" s="292"/>
      <c r="S25" s="285"/>
    </row>
    <row r="26" spans="1:19" ht="16.5" thickTop="1">
      <c r="A26" s="491" t="str">
        <f t="shared" ca="1" si="0"/>
        <v>UFB-10 Debt</v>
      </c>
      <c r="B26" s="491">
        <f>ROW()</f>
        <v>26</v>
      </c>
      <c r="C26" s="491" t="str">
        <f>'Cover Page'!K6</f>
        <v>0421</v>
      </c>
      <c r="D26" s="491">
        <f>'Cover Page'!K4</f>
        <v>2020</v>
      </c>
      <c r="E26" s="491" t="s">
        <v>2031</v>
      </c>
      <c r="F26" s="491" t="s">
        <v>2190</v>
      </c>
      <c r="G26" s="491" t="s">
        <v>121</v>
      </c>
      <c r="H26" s="505">
        <f>'Cover Page'!M38</f>
        <v>0</v>
      </c>
      <c r="J26" s="26"/>
      <c r="N26" s="234"/>
      <c r="O26" s="2"/>
      <c r="P26" s="3"/>
      <c r="Q26" s="3"/>
      <c r="R26" s="206"/>
      <c r="S26" s="235"/>
    </row>
    <row r="27" spans="1:19" ht="16.5" thickBot="1">
      <c r="A27" s="491" t="str">
        <f t="shared" ca="1" si="0"/>
        <v>UFB-10 Debt</v>
      </c>
      <c r="B27" s="491">
        <f>ROW()</f>
        <v>27</v>
      </c>
      <c r="C27" s="491" t="str">
        <f>'Cover Page'!K6</f>
        <v>0421</v>
      </c>
      <c r="D27" s="491">
        <f>'Cover Page'!K4</f>
        <v>2020</v>
      </c>
      <c r="E27" s="491" t="s">
        <v>2031</v>
      </c>
      <c r="F27" s="491" t="s">
        <v>2190</v>
      </c>
      <c r="G27" s="491" t="s">
        <v>2198</v>
      </c>
      <c r="H27" s="505">
        <f>'Cover Page'!M38</f>
        <v>0</v>
      </c>
      <c r="I27" s="1" t="s">
        <v>2198</v>
      </c>
      <c r="J27" s="233" t="s">
        <v>254</v>
      </c>
      <c r="K27" s="428">
        <f>K22/K25</f>
        <v>2618.6832665534803</v>
      </c>
      <c r="N27" s="31"/>
      <c r="O27" s="238" t="s">
        <v>245</v>
      </c>
      <c r="P27" s="474" t="s">
        <v>246</v>
      </c>
      <c r="Q27" s="475" t="s">
        <v>247</v>
      </c>
      <c r="R27" s="474" t="s">
        <v>248</v>
      </c>
      <c r="S27" s="12"/>
    </row>
    <row r="28" spans="1:19" ht="17.25" thickTop="1" thickBot="1">
      <c r="A28" s="491" t="str">
        <f t="shared" ca="1" si="0"/>
        <v>UFB-10 Debt</v>
      </c>
      <c r="B28" s="491">
        <f>ROW()</f>
        <v>28</v>
      </c>
      <c r="C28" s="491" t="str">
        <f>'Cover Page'!K6</f>
        <v>0421</v>
      </c>
      <c r="D28" s="491">
        <f>'Cover Page'!K4</f>
        <v>2020</v>
      </c>
      <c r="E28" s="491" t="s">
        <v>2031</v>
      </c>
      <c r="F28" s="491" t="s">
        <v>2190</v>
      </c>
      <c r="G28" s="491" t="s">
        <v>2199</v>
      </c>
      <c r="H28" s="505">
        <f>'Cover Page'!M38</f>
        <v>0</v>
      </c>
      <c r="I28" s="1" t="s">
        <v>2218</v>
      </c>
      <c r="J28" s="26" t="s">
        <v>255</v>
      </c>
      <c r="K28" s="428">
        <f>M22/K25</f>
        <v>1355.5253718166382</v>
      </c>
      <c r="N28" s="234"/>
      <c r="O28" s="241" t="s">
        <v>249</v>
      </c>
      <c r="P28" s="647" t="s">
        <v>2339</v>
      </c>
      <c r="Q28" s="647"/>
      <c r="R28" s="647"/>
      <c r="S28" s="239"/>
    </row>
    <row r="29" spans="1:19" ht="16.5" thickTop="1">
      <c r="A29" s="491" t="str">
        <f t="shared" ca="1" si="0"/>
        <v>UFB-10 Debt</v>
      </c>
      <c r="B29" s="491">
        <f>ROW()</f>
        <v>29</v>
      </c>
      <c r="C29" s="491" t="str">
        <f>'Cover Page'!K6</f>
        <v>0421</v>
      </c>
      <c r="D29" s="491">
        <f>'Cover Page'!K4</f>
        <v>2020</v>
      </c>
      <c r="E29" s="491" t="s">
        <v>2031</v>
      </c>
      <c r="F29" s="491" t="s">
        <v>2190</v>
      </c>
      <c r="G29" s="491" t="s">
        <v>121</v>
      </c>
      <c r="H29" s="505">
        <f>'Cover Page'!M38</f>
        <v>0</v>
      </c>
      <c r="I29" s="1" t="s">
        <v>2219</v>
      </c>
      <c r="J29" s="26"/>
      <c r="L29" s="236"/>
      <c r="M29" s="236"/>
      <c r="N29" s="240"/>
      <c r="O29" s="241" t="s">
        <v>251</v>
      </c>
      <c r="P29" s="648">
        <v>2019</v>
      </c>
      <c r="Q29" s="648"/>
      <c r="R29" s="648"/>
      <c r="S29" s="242"/>
    </row>
    <row r="30" spans="1:19" ht="15.75" thickBot="1">
      <c r="A30" s="491" t="str">
        <f t="shared" ca="1" si="0"/>
        <v>UFB-10 Debt</v>
      </c>
      <c r="B30" s="491">
        <f>ROW()</f>
        <v>30</v>
      </c>
      <c r="C30" s="491" t="str">
        <f>'Cover Page'!K6</f>
        <v>0421</v>
      </c>
      <c r="D30" s="491">
        <f>'Cover Page'!K4</f>
        <v>2020</v>
      </c>
      <c r="E30" s="491" t="s">
        <v>2031</v>
      </c>
      <c r="F30" s="491" t="s">
        <v>2190</v>
      </c>
      <c r="G30" s="491" t="s">
        <v>2200</v>
      </c>
      <c r="H30" s="505">
        <f>'Cover Page'!M38</f>
        <v>0</v>
      </c>
      <c r="J30" s="233" t="s">
        <v>244</v>
      </c>
      <c r="K30" s="237"/>
      <c r="L30" s="290">
        <v>215269416.66999999</v>
      </c>
      <c r="M30" s="237"/>
      <c r="N30" s="240"/>
      <c r="S30" s="242"/>
    </row>
    <row r="31" spans="1:19" ht="19.5" thickTop="1">
      <c r="A31" s="491" t="str">
        <f t="shared" ca="1" si="0"/>
        <v>UFB-10 Debt</v>
      </c>
      <c r="B31" s="491">
        <f>ROW()</f>
        <v>31</v>
      </c>
      <c r="C31" s="491" t="str">
        <f>'Cover Page'!K6</f>
        <v>0421</v>
      </c>
      <c r="D31" s="491">
        <f>'Cover Page'!K4</f>
        <v>2020</v>
      </c>
      <c r="E31" s="491" t="s">
        <v>2031</v>
      </c>
      <c r="F31" s="491" t="s">
        <v>2190</v>
      </c>
      <c r="G31" s="491" t="s">
        <v>121</v>
      </c>
      <c r="H31" s="505">
        <f>'Cover Page'!M38</f>
        <v>0</v>
      </c>
      <c r="I31" s="1" t="s">
        <v>2220</v>
      </c>
      <c r="J31" s="26"/>
      <c r="N31" s="38"/>
      <c r="O31" s="291" t="s">
        <v>256</v>
      </c>
      <c r="P31" s="37"/>
      <c r="Q31" s="646"/>
      <c r="R31" s="37"/>
      <c r="S31" s="244"/>
    </row>
    <row r="32" spans="1:19" s="20" customFormat="1" ht="15.75" thickBot="1">
      <c r="A32" s="491" t="str">
        <f t="shared" ca="1" si="0"/>
        <v>UFB-10 Debt</v>
      </c>
      <c r="B32" s="491">
        <f>ROW()</f>
        <v>32</v>
      </c>
      <c r="C32" s="491" t="str">
        <f>'Cover Page'!K6</f>
        <v>0421</v>
      </c>
      <c r="D32" s="491">
        <f>'Cover Page'!K4</f>
        <v>2020</v>
      </c>
      <c r="E32" s="491" t="s">
        <v>2031</v>
      </c>
      <c r="F32" s="491" t="s">
        <v>2190</v>
      </c>
      <c r="G32" s="491" t="s">
        <v>2201</v>
      </c>
      <c r="H32" s="505">
        <f>'Cover Page'!M38</f>
        <v>0</v>
      </c>
      <c r="I32" s="20" t="s">
        <v>2290</v>
      </c>
      <c r="J32" s="233" t="s">
        <v>250</v>
      </c>
      <c r="K32" s="243"/>
      <c r="L32" s="429">
        <f>M22/L30</f>
        <v>1.8544307323132767E-2</v>
      </c>
      <c r="M32" s="242"/>
      <c r="N32" s="8"/>
      <c r="P32" s="8"/>
      <c r="Q32" s="8"/>
      <c r="R32" s="8"/>
      <c r="S32" s="8"/>
    </row>
    <row r="33" spans="1:19" ht="15" thickTop="1">
      <c r="A33" s="491" t="str">
        <f t="shared" ca="1" si="0"/>
        <v>UFB-10 Debt</v>
      </c>
      <c r="B33" s="491">
        <f>ROW()</f>
        <v>33</v>
      </c>
      <c r="C33" s="491" t="str">
        <f>'Cover Page'!K6</f>
        <v>0421</v>
      </c>
      <c r="D33" s="491">
        <f>'Cover Page'!K4</f>
        <v>2020</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4.25">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9"/>
  <sheetViews>
    <sheetView topLeftCell="J1" workbookViewId="0">
      <selection activeCell="P5" sqref="P5"/>
    </sheetView>
  </sheetViews>
  <sheetFormatPr defaultColWidth="10" defaultRowHeight="15"/>
  <cols>
    <col min="1" max="9" width="10" style="154" hidden="1" customWidth="1"/>
    <col min="10" max="10" width="11.7109375" style="154" customWidth="1"/>
    <col min="11" max="11" width="30.28515625" style="154" customWidth="1"/>
    <col min="12" max="12" width="29.42578125" style="154" customWidth="1"/>
    <col min="13" max="13" width="36.85546875" style="154" customWidth="1"/>
    <col min="14" max="15" width="12.28515625" style="154" bestFit="1" customWidth="1"/>
    <col min="16" max="16" width="19.28515625" style="154" customWidth="1"/>
    <col min="17" max="18" width="10" style="154"/>
    <col min="19" max="19" width="10" style="154" customWidth="1"/>
    <col min="20" max="16384" width="10" style="154"/>
  </cols>
  <sheetData>
    <row r="1" spans="1:16" ht="18.75">
      <c r="A1" s="491" t="str">
        <f ca="1">MID(CELL("filename",A2),FIND("]",CELL("filename",A2))+1,256)</f>
        <v>UFB-11 Shared Services</v>
      </c>
      <c r="B1" s="491">
        <f>ROW()</f>
        <v>1</v>
      </c>
      <c r="C1" s="491" t="str">
        <f>'Cover Page'!K6</f>
        <v>0421</v>
      </c>
      <c r="D1" s="491">
        <f>'Cover Page'!K4</f>
        <v>2020</v>
      </c>
      <c r="E1" s="491" t="s">
        <v>2031</v>
      </c>
      <c r="F1" s="491" t="s">
        <v>2221</v>
      </c>
      <c r="G1" s="491"/>
      <c r="H1" s="505">
        <f>'Cover Page'!M38</f>
        <v>0</v>
      </c>
      <c r="J1" s="685" t="s">
        <v>286</v>
      </c>
      <c r="K1" s="685"/>
      <c r="L1" s="685"/>
      <c r="M1" s="685"/>
      <c r="N1" s="685"/>
      <c r="O1" s="685"/>
      <c r="P1" s="685"/>
    </row>
    <row r="2" spans="1:16" ht="15.75" thickBot="1">
      <c r="A2" s="491" t="str">
        <f ca="1">MID(CELL("filename",A2),FIND("]",CELL("filename",A2))+1,256)</f>
        <v>UFB-11 Shared Services</v>
      </c>
      <c r="B2" s="491">
        <f>ROW()</f>
        <v>2</v>
      </c>
      <c r="C2" s="491" t="str">
        <f>'Cover Page'!K6</f>
        <v>0421</v>
      </c>
      <c r="D2" s="491">
        <f>'Cover Page'!K4</f>
        <v>2020</v>
      </c>
      <c r="E2" s="491" t="s">
        <v>2031</v>
      </c>
      <c r="F2" s="491" t="s">
        <v>2221</v>
      </c>
      <c r="G2" s="491" t="s">
        <v>121</v>
      </c>
      <c r="H2" s="505">
        <f>'Cover Page'!M38</f>
        <v>0</v>
      </c>
    </row>
    <row r="3" spans="1:16" s="194" customFormat="1" ht="45.75" thickTop="1">
      <c r="A3" s="491" t="str">
        <f t="shared" ref="A3:A38" ca="1" si="0">MID(CELL("filename",A3),FIND("]",CELL("filename",A3))+1,256)</f>
        <v>UFB-11 Shared Services</v>
      </c>
      <c r="B3" s="491">
        <f>ROW()</f>
        <v>3</v>
      </c>
      <c r="C3" s="491" t="str">
        <f>'Cover Page'!K6</f>
        <v>0421</v>
      </c>
      <c r="D3" s="491">
        <f>'Cover Page'!K4</f>
        <v>2020</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75">
      <c r="A4" s="491" t="str">
        <f t="shared" ca="1" si="0"/>
        <v>UFB-11 Shared Services</v>
      </c>
      <c r="B4" s="491">
        <f>ROW()</f>
        <v>4</v>
      </c>
      <c r="C4" s="491" t="str">
        <f>'Cover Page'!K6</f>
        <v>0421</v>
      </c>
      <c r="D4" s="491">
        <f>'Cover Page'!K4</f>
        <v>2020</v>
      </c>
      <c r="E4" s="491" t="s">
        <v>2031</v>
      </c>
      <c r="F4" s="491" t="s">
        <v>2221</v>
      </c>
      <c r="G4" s="491" t="s">
        <v>2222</v>
      </c>
      <c r="H4" s="505">
        <f>'Cover Page'!M38</f>
        <v>0</v>
      </c>
      <c r="J4" s="384" t="s">
        <v>282</v>
      </c>
      <c r="K4" s="195" t="s">
        <v>2340</v>
      </c>
      <c r="L4" s="195" t="s">
        <v>70</v>
      </c>
      <c r="M4" s="196"/>
      <c r="N4" s="197">
        <v>43831</v>
      </c>
      <c r="O4" s="198">
        <v>44196</v>
      </c>
      <c r="P4" s="294">
        <v>2000</v>
      </c>
    </row>
    <row r="5" spans="1:16" s="199" customFormat="1" ht="15.75">
      <c r="A5" s="491" t="str">
        <f t="shared" ca="1" si="0"/>
        <v>UFB-11 Shared Services</v>
      </c>
      <c r="B5" s="491">
        <f>ROW()</f>
        <v>5</v>
      </c>
      <c r="C5" s="491" t="str">
        <f>'Cover Page'!K6</f>
        <v>0421</v>
      </c>
      <c r="D5" s="491">
        <f>'Cover Page'!K4</f>
        <v>2020</v>
      </c>
      <c r="E5" s="491" t="s">
        <v>2031</v>
      </c>
      <c r="F5" s="491" t="s">
        <v>2221</v>
      </c>
      <c r="G5" s="491" t="s">
        <v>2222</v>
      </c>
      <c r="H5" s="505">
        <f>'Cover Page'!M38</f>
        <v>0</v>
      </c>
      <c r="J5" s="384"/>
      <c r="K5" s="195"/>
      <c r="L5" s="195"/>
      <c r="M5" s="200"/>
      <c r="N5" s="197"/>
      <c r="O5" s="198"/>
      <c r="P5" s="295"/>
    </row>
    <row r="6" spans="1:16" s="199" customFormat="1" ht="15.75">
      <c r="A6" s="491" t="str">
        <f t="shared" ca="1" si="0"/>
        <v>UFB-11 Shared Services</v>
      </c>
      <c r="B6" s="491">
        <f>ROW()</f>
        <v>6</v>
      </c>
      <c r="C6" s="491" t="str">
        <f>'Cover Page'!K6</f>
        <v>0421</v>
      </c>
      <c r="D6" s="491">
        <f>'Cover Page'!K4</f>
        <v>2020</v>
      </c>
      <c r="E6" s="491" t="s">
        <v>2031</v>
      </c>
      <c r="F6" s="491" t="s">
        <v>2221</v>
      </c>
      <c r="G6" s="491" t="s">
        <v>2222</v>
      </c>
      <c r="H6" s="505">
        <f>'Cover Page'!M38</f>
        <v>0</v>
      </c>
      <c r="J6" s="384"/>
      <c r="K6" s="195"/>
      <c r="L6" s="195"/>
      <c r="M6" s="200"/>
      <c r="N6" s="197"/>
      <c r="O6" s="198"/>
      <c r="P6" s="295"/>
    </row>
    <row r="7" spans="1:16" s="199" customFormat="1" ht="15.75">
      <c r="A7" s="491" t="str">
        <f t="shared" ca="1" si="0"/>
        <v>UFB-11 Shared Services</v>
      </c>
      <c r="B7" s="491">
        <f>ROW()</f>
        <v>7</v>
      </c>
      <c r="C7" s="491" t="str">
        <f>'Cover Page'!K6</f>
        <v>0421</v>
      </c>
      <c r="D7" s="491">
        <f>'Cover Page'!K4</f>
        <v>2020</v>
      </c>
      <c r="E7" s="491" t="s">
        <v>2031</v>
      </c>
      <c r="F7" s="491" t="s">
        <v>2221</v>
      </c>
      <c r="G7" s="491" t="s">
        <v>2222</v>
      </c>
      <c r="H7" s="505">
        <f>'Cover Page'!M38</f>
        <v>0</v>
      </c>
      <c r="J7" s="384"/>
      <c r="K7" s="195"/>
      <c r="L7" s="195"/>
      <c r="M7" s="200"/>
      <c r="N7" s="197"/>
      <c r="O7" s="198"/>
      <c r="P7" s="295"/>
    </row>
    <row r="8" spans="1:16" s="199" customFormat="1" ht="15.75">
      <c r="A8" s="491" t="str">
        <f t="shared" ca="1" si="0"/>
        <v>UFB-11 Shared Services</v>
      </c>
      <c r="B8" s="491">
        <f>ROW()</f>
        <v>8</v>
      </c>
      <c r="C8" s="491" t="str">
        <f>'Cover Page'!K6</f>
        <v>0421</v>
      </c>
      <c r="D8" s="491">
        <f>'Cover Page'!K4</f>
        <v>2020</v>
      </c>
      <c r="E8" s="491" t="s">
        <v>2031</v>
      </c>
      <c r="F8" s="491" t="s">
        <v>2221</v>
      </c>
      <c r="G8" s="491" t="s">
        <v>2222</v>
      </c>
      <c r="H8" s="505">
        <f>'Cover Page'!M38</f>
        <v>0</v>
      </c>
      <c r="J8" s="384"/>
      <c r="K8" s="195"/>
      <c r="L8" s="195"/>
      <c r="M8" s="200"/>
      <c r="N8" s="197"/>
      <c r="O8" s="198"/>
      <c r="P8" s="295"/>
    </row>
    <row r="9" spans="1:16" s="199" customFormat="1" ht="15.75">
      <c r="A9" s="491" t="str">
        <f t="shared" ca="1" si="0"/>
        <v>UFB-11 Shared Services</v>
      </c>
      <c r="B9" s="491">
        <f>ROW()</f>
        <v>9</v>
      </c>
      <c r="C9" s="491" t="str">
        <f>'Cover Page'!K6</f>
        <v>0421</v>
      </c>
      <c r="D9" s="491">
        <f>'Cover Page'!K4</f>
        <v>2020</v>
      </c>
      <c r="E9" s="491" t="s">
        <v>2031</v>
      </c>
      <c r="F9" s="491" t="s">
        <v>2221</v>
      </c>
      <c r="G9" s="491" t="s">
        <v>2222</v>
      </c>
      <c r="H9" s="505">
        <f>'Cover Page'!M38</f>
        <v>0</v>
      </c>
      <c r="J9" s="384"/>
      <c r="K9" s="195"/>
      <c r="L9" s="195"/>
      <c r="M9" s="200"/>
      <c r="N9" s="197"/>
      <c r="O9" s="198"/>
      <c r="P9" s="295"/>
    </row>
    <row r="10" spans="1:16" s="199" customFormat="1" ht="15.75">
      <c r="A10" s="491" t="str">
        <f ca="1">MID(CELL("filename",A10),FIND("]",CELL("filename",A10))+1,256)</f>
        <v>UFB-11 Shared Services</v>
      </c>
      <c r="B10" s="491">
        <f>ROW()</f>
        <v>10</v>
      </c>
      <c r="C10" s="491" t="str">
        <f>'Cover Page'!K6</f>
        <v>0421</v>
      </c>
      <c r="D10" s="491">
        <f>'Cover Page'!K4</f>
        <v>2020</v>
      </c>
      <c r="E10" s="491" t="s">
        <v>2031</v>
      </c>
      <c r="F10" s="491" t="s">
        <v>2221</v>
      </c>
      <c r="G10" s="491" t="s">
        <v>2222</v>
      </c>
      <c r="H10" s="505">
        <f>'Cover Page'!M38</f>
        <v>0</v>
      </c>
      <c r="J10" s="384"/>
      <c r="K10" s="195"/>
      <c r="L10" s="195"/>
      <c r="M10" s="200"/>
      <c r="N10" s="197"/>
      <c r="O10" s="198"/>
      <c r="P10" s="295"/>
    </row>
    <row r="11" spans="1:16" s="199" customFormat="1" ht="15.75">
      <c r="A11" s="491" t="str">
        <f ca="1">MID(CELL("filename",A11),FIND("]",CELL("filename",A11))+1,256)</f>
        <v>UFB-11 Shared Services</v>
      </c>
      <c r="B11" s="491">
        <f>ROW()</f>
        <v>11</v>
      </c>
      <c r="C11" s="491" t="str">
        <f>'Cover Page'!K6</f>
        <v>0421</v>
      </c>
      <c r="D11" s="491">
        <f>'Cover Page'!K4</f>
        <v>2020</v>
      </c>
      <c r="E11" s="491" t="s">
        <v>2031</v>
      </c>
      <c r="F11" s="491" t="s">
        <v>2221</v>
      </c>
      <c r="G11" s="491" t="s">
        <v>2222</v>
      </c>
      <c r="H11" s="505">
        <f>'Cover Page'!M38</f>
        <v>0</v>
      </c>
      <c r="J11" s="384"/>
      <c r="K11" s="195"/>
      <c r="L11" s="195"/>
      <c r="M11" s="200"/>
      <c r="N11" s="197"/>
      <c r="O11" s="198"/>
      <c r="P11" s="295"/>
    </row>
    <row r="12" spans="1:16" s="199" customFormat="1" ht="15.75">
      <c r="A12" s="491" t="str">
        <f ca="1">MID(CELL("filename",A12),FIND("]",CELL("filename",A12))+1,256)</f>
        <v>UFB-11 Shared Services</v>
      </c>
      <c r="B12" s="491">
        <f>ROW()</f>
        <v>12</v>
      </c>
      <c r="C12" s="491" t="str">
        <f>'Cover Page'!K6</f>
        <v>0421</v>
      </c>
      <c r="D12" s="491">
        <f>'Cover Page'!K4</f>
        <v>2020</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0421</v>
      </c>
      <c r="D13" s="491">
        <f>'Cover Page'!K4</f>
        <v>2020</v>
      </c>
      <c r="E13" s="491" t="s">
        <v>2031</v>
      </c>
      <c r="F13" s="491" t="s">
        <v>2221</v>
      </c>
      <c r="G13" s="491" t="s">
        <v>2222</v>
      </c>
      <c r="H13" s="505">
        <f>'Cover Page'!M38</f>
        <v>0</v>
      </c>
      <c r="J13" s="384"/>
      <c r="K13" s="195"/>
      <c r="L13" s="195"/>
      <c r="M13" s="200"/>
      <c r="N13" s="197"/>
      <c r="O13" s="198"/>
      <c r="P13" s="295"/>
    </row>
    <row r="14" spans="1:16" s="199" customFormat="1" ht="15.75">
      <c r="A14" s="491" t="str">
        <f t="shared" ca="1" si="0"/>
        <v>UFB-11 Shared Services</v>
      </c>
      <c r="B14" s="491">
        <f>ROW()</f>
        <v>14</v>
      </c>
      <c r="C14" s="491" t="str">
        <f>'Cover Page'!K6</f>
        <v>0421</v>
      </c>
      <c r="D14" s="491">
        <f>'Cover Page'!K4</f>
        <v>2020</v>
      </c>
      <c r="E14" s="491" t="s">
        <v>2031</v>
      </c>
      <c r="F14" s="491" t="s">
        <v>2221</v>
      </c>
      <c r="G14" s="491" t="s">
        <v>2222</v>
      </c>
      <c r="H14" s="505">
        <f>'Cover Page'!M38</f>
        <v>0</v>
      </c>
      <c r="J14" s="384"/>
      <c r="K14" s="195"/>
      <c r="L14" s="195"/>
      <c r="M14" s="201"/>
      <c r="N14" s="197"/>
      <c r="O14" s="198"/>
      <c r="P14" s="295"/>
    </row>
    <row r="15" spans="1:16" s="199" customFormat="1" ht="15.75">
      <c r="A15" s="491" t="str">
        <f t="shared" ca="1" si="0"/>
        <v>UFB-11 Shared Services</v>
      </c>
      <c r="B15" s="491">
        <f>ROW()</f>
        <v>15</v>
      </c>
      <c r="C15" s="491" t="str">
        <f>'Cover Page'!K6</f>
        <v>0421</v>
      </c>
      <c r="D15" s="491">
        <f>'Cover Page'!K4</f>
        <v>2020</v>
      </c>
      <c r="E15" s="491" t="s">
        <v>2031</v>
      </c>
      <c r="F15" s="491" t="s">
        <v>2221</v>
      </c>
      <c r="G15" s="491" t="s">
        <v>2222</v>
      </c>
      <c r="H15" s="505">
        <f>'Cover Page'!M38</f>
        <v>0</v>
      </c>
      <c r="J15" s="384"/>
      <c r="K15" s="195"/>
      <c r="L15" s="195"/>
      <c r="M15" s="201"/>
      <c r="N15" s="197"/>
      <c r="O15" s="198"/>
      <c r="P15" s="295"/>
    </row>
    <row r="16" spans="1:16" s="199" customFormat="1" ht="15.75">
      <c r="A16" s="491" t="str">
        <f t="shared" ca="1" si="0"/>
        <v>UFB-11 Shared Services</v>
      </c>
      <c r="B16" s="491">
        <f>ROW()</f>
        <v>16</v>
      </c>
      <c r="C16" s="491" t="str">
        <f>'Cover Page'!K6</f>
        <v>0421</v>
      </c>
      <c r="D16" s="491">
        <f>'Cover Page'!K4</f>
        <v>2020</v>
      </c>
      <c r="E16" s="491" t="s">
        <v>2031</v>
      </c>
      <c r="F16" s="491" t="s">
        <v>2221</v>
      </c>
      <c r="G16" s="491" t="s">
        <v>2222</v>
      </c>
      <c r="H16" s="505">
        <f>'Cover Page'!M38</f>
        <v>0</v>
      </c>
      <c r="J16" s="384"/>
      <c r="K16" s="195"/>
      <c r="L16" s="195"/>
      <c r="M16" s="201"/>
      <c r="N16" s="197"/>
      <c r="O16" s="198"/>
      <c r="P16" s="295"/>
    </row>
    <row r="17" spans="1:19" s="199" customFormat="1" ht="15.75">
      <c r="A17" s="491" t="str">
        <f t="shared" ca="1" si="0"/>
        <v>UFB-11 Shared Services</v>
      </c>
      <c r="B17" s="491">
        <f>ROW()</f>
        <v>17</v>
      </c>
      <c r="C17" s="491" t="str">
        <f>'Cover Page'!K6</f>
        <v>0421</v>
      </c>
      <c r="D17" s="491">
        <f>'Cover Page'!K4</f>
        <v>2020</v>
      </c>
      <c r="E17" s="491" t="s">
        <v>2031</v>
      </c>
      <c r="F17" s="491" t="s">
        <v>2221</v>
      </c>
      <c r="G17" s="491" t="s">
        <v>2222</v>
      </c>
      <c r="H17" s="505">
        <f>'Cover Page'!M25</f>
        <v>44926</v>
      </c>
      <c r="J17" s="384"/>
      <c r="K17" s="195"/>
      <c r="L17" s="195"/>
      <c r="M17" s="201"/>
      <c r="N17" s="197"/>
      <c r="O17" s="198"/>
      <c r="P17" s="295"/>
    </row>
    <row r="18" spans="1:19" s="199" customFormat="1" ht="15.75">
      <c r="A18" s="491" t="str">
        <f t="shared" ca="1" si="0"/>
        <v>UFB-11 Shared Services</v>
      </c>
      <c r="B18" s="491">
        <f>ROW()</f>
        <v>18</v>
      </c>
      <c r="C18" s="491" t="str">
        <f>'Cover Page'!K6</f>
        <v>0421</v>
      </c>
      <c r="D18" s="491">
        <f>'Cover Page'!K4</f>
        <v>2020</v>
      </c>
      <c r="E18" s="491" t="s">
        <v>2031</v>
      </c>
      <c r="F18" s="491" t="s">
        <v>2221</v>
      </c>
      <c r="G18" s="491" t="s">
        <v>2222</v>
      </c>
      <c r="H18" s="505">
        <f>'Cover Page'!M25</f>
        <v>44926</v>
      </c>
      <c r="J18" s="384"/>
      <c r="K18" s="195"/>
      <c r="L18" s="195"/>
      <c r="M18" s="201"/>
      <c r="N18" s="197"/>
      <c r="O18" s="198"/>
      <c r="P18" s="295"/>
    </row>
    <row r="19" spans="1:19" s="199" customFormat="1" ht="15.75">
      <c r="A19" s="491" t="str">
        <f t="shared" ca="1" si="0"/>
        <v>UFB-11 Shared Services</v>
      </c>
      <c r="B19" s="491">
        <f>ROW()</f>
        <v>19</v>
      </c>
      <c r="C19" s="491" t="str">
        <f>'Cover Page'!K6</f>
        <v>0421</v>
      </c>
      <c r="D19" s="491">
        <f>'Cover Page'!K4</f>
        <v>2020</v>
      </c>
      <c r="E19" s="491" t="s">
        <v>2031</v>
      </c>
      <c r="F19" s="491" t="s">
        <v>2221</v>
      </c>
      <c r="G19" s="491" t="s">
        <v>2222</v>
      </c>
      <c r="H19" s="505">
        <f>'Cover Page'!M25</f>
        <v>44926</v>
      </c>
      <c r="J19" s="384"/>
      <c r="K19" s="195"/>
      <c r="L19" s="195"/>
      <c r="M19" s="201" t="s">
        <v>121</v>
      </c>
      <c r="N19" s="197"/>
      <c r="O19" s="198"/>
      <c r="P19" s="295"/>
    </row>
    <row r="20" spans="1:19" s="199" customFormat="1" ht="15.75">
      <c r="A20" s="491" t="str">
        <f t="shared" ca="1" si="0"/>
        <v>UFB-11 Shared Services</v>
      </c>
      <c r="B20" s="491">
        <f>ROW()</f>
        <v>20</v>
      </c>
      <c r="C20" s="491" t="str">
        <f>'Cover Page'!K6</f>
        <v>0421</v>
      </c>
      <c r="D20" s="491">
        <f>'Cover Page'!K4</f>
        <v>2020</v>
      </c>
      <c r="E20" s="491" t="s">
        <v>2031</v>
      </c>
      <c r="F20" s="491" t="s">
        <v>2221</v>
      </c>
      <c r="G20" s="491" t="s">
        <v>2222</v>
      </c>
      <c r="H20" s="505">
        <f>'Cover Page'!M25</f>
        <v>44926</v>
      </c>
      <c r="J20" s="384"/>
      <c r="K20" s="195"/>
      <c r="L20" s="195"/>
      <c r="M20" s="201"/>
      <c r="N20" s="197"/>
      <c r="O20" s="198"/>
      <c r="P20" s="295"/>
    </row>
    <row r="21" spans="1:19" s="199" customFormat="1" ht="15.75">
      <c r="A21" s="491" t="str">
        <f t="shared" ca="1" si="0"/>
        <v>UFB-11 Shared Services</v>
      </c>
      <c r="B21" s="491">
        <f>ROW()</f>
        <v>21</v>
      </c>
      <c r="C21" s="491" t="str">
        <f>'Cover Page'!K6</f>
        <v>0421</v>
      </c>
      <c r="D21" s="491">
        <f>'Cover Page'!K4</f>
        <v>2020</v>
      </c>
      <c r="E21" s="491" t="s">
        <v>2031</v>
      </c>
      <c r="F21" s="491" t="s">
        <v>2221</v>
      </c>
      <c r="G21" s="491" t="s">
        <v>2222</v>
      </c>
      <c r="H21" s="505">
        <f>'Cover Page'!M25</f>
        <v>44926</v>
      </c>
      <c r="J21" s="384"/>
      <c r="K21" s="195"/>
      <c r="L21" s="195"/>
      <c r="M21" s="201"/>
      <c r="N21" s="197"/>
      <c r="O21" s="198"/>
      <c r="P21" s="295"/>
      <c r="S21" s="659" t="s">
        <v>281</v>
      </c>
    </row>
    <row r="22" spans="1:19" s="199" customFormat="1" ht="15.75">
      <c r="A22" s="491" t="str">
        <f t="shared" ca="1" si="0"/>
        <v>UFB-11 Shared Services</v>
      </c>
      <c r="B22" s="491">
        <f>ROW()</f>
        <v>22</v>
      </c>
      <c r="C22" s="491" t="str">
        <f>'Cover Page'!K6</f>
        <v>0421</v>
      </c>
      <c r="D22" s="491">
        <f>'Cover Page'!K4</f>
        <v>2020</v>
      </c>
      <c r="E22" s="491" t="s">
        <v>2031</v>
      </c>
      <c r="F22" s="491" t="s">
        <v>2221</v>
      </c>
      <c r="G22" s="491" t="s">
        <v>2222</v>
      </c>
      <c r="H22" s="505">
        <f>'Cover Page'!M25</f>
        <v>44926</v>
      </c>
      <c r="J22" s="384"/>
      <c r="K22" s="195"/>
      <c r="L22" s="195"/>
      <c r="M22" s="201"/>
      <c r="N22" s="197"/>
      <c r="O22" s="198"/>
      <c r="P22" s="295"/>
      <c r="S22" s="659" t="s">
        <v>282</v>
      </c>
    </row>
    <row r="23" spans="1:19" s="199" customFormat="1" ht="15.75">
      <c r="A23" s="491" t="str">
        <f t="shared" ca="1" si="0"/>
        <v>UFB-11 Shared Services</v>
      </c>
      <c r="B23" s="491">
        <f>ROW()</f>
        <v>23</v>
      </c>
      <c r="C23" s="491" t="str">
        <f>'Cover Page'!K6</f>
        <v>0421</v>
      </c>
      <c r="D23" s="491">
        <f>'Cover Page'!K4</f>
        <v>2020</v>
      </c>
      <c r="E23" s="491" t="s">
        <v>2031</v>
      </c>
      <c r="F23" s="491" t="s">
        <v>2221</v>
      </c>
      <c r="G23" s="491" t="s">
        <v>2222</v>
      </c>
      <c r="H23" s="505">
        <f>'Cover Page'!M25</f>
        <v>44926</v>
      </c>
      <c r="J23" s="384"/>
      <c r="K23" s="195"/>
      <c r="L23" s="195"/>
      <c r="M23" s="201"/>
      <c r="N23" s="197"/>
      <c r="O23" s="198"/>
      <c r="P23" s="295"/>
      <c r="S23" s="660"/>
    </row>
    <row r="24" spans="1:19" s="199" customFormat="1" ht="15.75">
      <c r="A24" s="491" t="str">
        <f t="shared" ca="1" si="0"/>
        <v>UFB-11 Shared Services</v>
      </c>
      <c r="B24" s="491">
        <f>ROW()</f>
        <v>24</v>
      </c>
      <c r="C24" s="491" t="str">
        <f>'Cover Page'!K6</f>
        <v>0421</v>
      </c>
      <c r="D24" s="491">
        <f>'Cover Page'!K4</f>
        <v>2020</v>
      </c>
      <c r="E24" s="491" t="s">
        <v>2031</v>
      </c>
      <c r="F24" s="491" t="s">
        <v>2221</v>
      </c>
      <c r="G24" s="491" t="s">
        <v>2222</v>
      </c>
      <c r="H24" s="505">
        <f>'Cover Page'!M25</f>
        <v>44926</v>
      </c>
      <c r="J24" s="384"/>
      <c r="K24" s="195"/>
      <c r="L24" s="195"/>
      <c r="M24" s="201"/>
      <c r="N24" s="197"/>
      <c r="O24" s="198"/>
      <c r="P24" s="295"/>
      <c r="S24" s="660"/>
    </row>
    <row r="25" spans="1:19" s="199" customFormat="1" ht="15.75">
      <c r="A25" s="491" t="str">
        <f t="shared" ca="1" si="0"/>
        <v>UFB-11 Shared Services</v>
      </c>
      <c r="B25" s="491">
        <f>ROW()</f>
        <v>25</v>
      </c>
      <c r="C25" s="491" t="str">
        <f>'Cover Page'!K6</f>
        <v>0421</v>
      </c>
      <c r="D25" s="491">
        <f>'Cover Page'!K4</f>
        <v>2020</v>
      </c>
      <c r="E25" s="491" t="s">
        <v>2031</v>
      </c>
      <c r="F25" s="491" t="s">
        <v>2221</v>
      </c>
      <c r="G25" s="491" t="s">
        <v>2222</v>
      </c>
      <c r="H25" s="505">
        <f>'Cover Page'!M25</f>
        <v>44926</v>
      </c>
      <c r="J25" s="384"/>
      <c r="K25" s="195"/>
      <c r="L25" s="195"/>
      <c r="M25" s="201"/>
      <c r="N25" s="197"/>
      <c r="O25" s="198"/>
      <c r="P25" s="295"/>
      <c r="S25" s="660"/>
    </row>
    <row r="26" spans="1:19" s="199" customFormat="1" ht="15.75">
      <c r="A26" s="491" t="str">
        <f t="shared" ca="1" si="0"/>
        <v>UFB-11 Shared Services</v>
      </c>
      <c r="B26" s="491">
        <f>ROW()</f>
        <v>26</v>
      </c>
      <c r="C26" s="491" t="str">
        <f>'Cover Page'!K6</f>
        <v>0421</v>
      </c>
      <c r="D26" s="491">
        <f>'Cover Page'!K4</f>
        <v>2020</v>
      </c>
      <c r="E26" s="491" t="s">
        <v>2031</v>
      </c>
      <c r="F26" s="491" t="s">
        <v>2221</v>
      </c>
      <c r="G26" s="491" t="s">
        <v>2222</v>
      </c>
      <c r="H26" s="505">
        <f>'Cover Page'!M25</f>
        <v>44926</v>
      </c>
      <c r="J26" s="384"/>
      <c r="K26" s="195"/>
      <c r="L26" s="195"/>
      <c r="M26" s="201"/>
      <c r="N26" s="197"/>
      <c r="O26" s="198"/>
      <c r="P26" s="295"/>
      <c r="S26" s="660"/>
    </row>
    <row r="27" spans="1:19" s="199" customFormat="1" ht="15.75">
      <c r="A27" s="491" t="str">
        <f t="shared" ca="1" si="0"/>
        <v>UFB-11 Shared Services</v>
      </c>
      <c r="B27" s="491">
        <f>ROW()</f>
        <v>27</v>
      </c>
      <c r="C27" s="491" t="str">
        <f>'Cover Page'!K6</f>
        <v>0421</v>
      </c>
      <c r="D27" s="491">
        <f>'Cover Page'!K4</f>
        <v>2020</v>
      </c>
      <c r="E27" s="491" t="s">
        <v>2031</v>
      </c>
      <c r="F27" s="491" t="s">
        <v>2221</v>
      </c>
      <c r="G27" s="491" t="s">
        <v>2222</v>
      </c>
      <c r="H27" s="505">
        <f>'Cover Page'!M25</f>
        <v>44926</v>
      </c>
      <c r="J27" s="384"/>
      <c r="K27" s="195"/>
      <c r="L27" s="195"/>
      <c r="M27" s="201"/>
      <c r="N27" s="403"/>
      <c r="O27" s="404"/>
      <c r="P27" s="295"/>
      <c r="S27" s="660"/>
    </row>
    <row r="28" spans="1:19" s="199" customFormat="1" ht="15.75">
      <c r="A28" s="491" t="str">
        <f t="shared" ca="1" si="0"/>
        <v>UFB-11 Shared Services</v>
      </c>
      <c r="B28" s="491">
        <f>ROW()</f>
        <v>28</v>
      </c>
      <c r="C28" s="491" t="str">
        <f>'Cover Page'!K6</f>
        <v>0421</v>
      </c>
      <c r="D28" s="491">
        <f>'Cover Page'!K4</f>
        <v>2020</v>
      </c>
      <c r="E28" s="491" t="s">
        <v>2031</v>
      </c>
      <c r="F28" s="491" t="s">
        <v>2221</v>
      </c>
      <c r="G28" s="491" t="s">
        <v>2222</v>
      </c>
      <c r="H28" s="505">
        <f>'Cover Page'!M25</f>
        <v>44926</v>
      </c>
      <c r="J28" s="384"/>
      <c r="K28" s="195"/>
      <c r="L28" s="195"/>
      <c r="M28" s="201"/>
      <c r="N28" s="197"/>
      <c r="O28" s="198"/>
      <c r="P28" s="295"/>
      <c r="S28" s="660"/>
    </row>
    <row r="29" spans="1:19" s="199" customFormat="1" ht="15.75">
      <c r="A29" s="491" t="str">
        <f t="shared" ca="1" si="0"/>
        <v>UFB-11 Shared Services</v>
      </c>
      <c r="B29" s="491">
        <f>ROW()</f>
        <v>29</v>
      </c>
      <c r="C29" s="491" t="str">
        <f>'Cover Page'!K6</f>
        <v>0421</v>
      </c>
      <c r="D29" s="491">
        <f>'Cover Page'!K4</f>
        <v>2020</v>
      </c>
      <c r="E29" s="491" t="s">
        <v>2031</v>
      </c>
      <c r="F29" s="491" t="s">
        <v>2221</v>
      </c>
      <c r="G29" s="491" t="s">
        <v>2222</v>
      </c>
      <c r="H29" s="505">
        <f>'Cover Page'!M38</f>
        <v>0</v>
      </c>
      <c r="J29" s="384"/>
      <c r="K29" s="195"/>
      <c r="L29" s="195"/>
      <c r="M29" s="201"/>
      <c r="N29" s="197"/>
      <c r="O29" s="198"/>
      <c r="P29" s="295"/>
      <c r="S29" s="660"/>
    </row>
    <row r="30" spans="1:19" s="199" customFormat="1" ht="15.75">
      <c r="A30" s="491" t="str">
        <f t="shared" ca="1" si="0"/>
        <v>UFB-11 Shared Services</v>
      </c>
      <c r="B30" s="491">
        <f>ROW()</f>
        <v>30</v>
      </c>
      <c r="C30" s="491" t="str">
        <f>'Cover Page'!K6</f>
        <v>0421</v>
      </c>
      <c r="D30" s="491">
        <f>'Cover Page'!K4</f>
        <v>2020</v>
      </c>
      <c r="E30" s="491" t="s">
        <v>2031</v>
      </c>
      <c r="F30" s="491" t="s">
        <v>2221</v>
      </c>
      <c r="G30" s="491" t="s">
        <v>2222</v>
      </c>
      <c r="H30" s="505">
        <f>'Cover Page'!M38</f>
        <v>0</v>
      </c>
      <c r="J30" s="384"/>
      <c r="K30" s="195"/>
      <c r="L30" s="195"/>
      <c r="M30" s="201"/>
      <c r="N30" s="197"/>
      <c r="O30" s="198"/>
      <c r="P30" s="295"/>
      <c r="S30" s="660"/>
    </row>
    <row r="31" spans="1:19" s="199" customFormat="1" ht="15.75">
      <c r="A31" s="491" t="str">
        <f t="shared" ca="1" si="0"/>
        <v>UFB-11 Shared Services</v>
      </c>
      <c r="B31" s="491">
        <f>ROW()</f>
        <v>31</v>
      </c>
      <c r="C31" s="491" t="str">
        <f>'Cover Page'!K6</f>
        <v>0421</v>
      </c>
      <c r="D31" s="491">
        <f>'Cover Page'!K4</f>
        <v>2020</v>
      </c>
      <c r="E31" s="491" t="s">
        <v>2031</v>
      </c>
      <c r="F31" s="491" t="s">
        <v>2221</v>
      </c>
      <c r="G31" s="491" t="s">
        <v>2222</v>
      </c>
      <c r="H31" s="505">
        <f>'Cover Page'!M38</f>
        <v>0</v>
      </c>
      <c r="J31" s="384"/>
      <c r="K31" s="195"/>
      <c r="L31" s="195"/>
      <c r="M31" s="201" t="s">
        <v>121</v>
      </c>
      <c r="N31" s="197"/>
      <c r="O31" s="198"/>
      <c r="P31" s="295"/>
      <c r="S31" s="660"/>
    </row>
    <row r="32" spans="1:19" s="199" customFormat="1" ht="15.75">
      <c r="A32" s="491" t="str">
        <f t="shared" ca="1" si="0"/>
        <v>UFB-11 Shared Services</v>
      </c>
      <c r="B32" s="491">
        <f>ROW()</f>
        <v>32</v>
      </c>
      <c r="C32" s="491" t="str">
        <f>'Cover Page'!K6</f>
        <v>0421</v>
      </c>
      <c r="D32" s="491">
        <f>'Cover Page'!K4</f>
        <v>2020</v>
      </c>
      <c r="E32" s="491" t="s">
        <v>2031</v>
      </c>
      <c r="F32" s="491" t="s">
        <v>2221</v>
      </c>
      <c r="G32" s="491" t="s">
        <v>2222</v>
      </c>
      <c r="H32" s="505">
        <f>'Cover Page'!M38</f>
        <v>0</v>
      </c>
      <c r="J32" s="384"/>
      <c r="K32" s="195"/>
      <c r="L32" s="195"/>
      <c r="M32" s="201"/>
      <c r="N32" s="197"/>
      <c r="O32" s="198"/>
      <c r="P32" s="295"/>
      <c r="S32" s="660"/>
    </row>
    <row r="33" spans="1:19" s="199" customFormat="1" ht="15.75">
      <c r="A33" s="491" t="str">
        <f t="shared" ca="1" si="0"/>
        <v>UFB-11 Shared Services</v>
      </c>
      <c r="B33" s="491">
        <f>ROW()</f>
        <v>33</v>
      </c>
      <c r="C33" s="491" t="str">
        <f>'Cover Page'!K6</f>
        <v>0421</v>
      </c>
      <c r="D33" s="491">
        <f>'Cover Page'!K4</f>
        <v>2020</v>
      </c>
      <c r="E33" s="491" t="s">
        <v>2031</v>
      </c>
      <c r="F33" s="491" t="s">
        <v>2221</v>
      </c>
      <c r="G33" s="491" t="s">
        <v>2222</v>
      </c>
      <c r="H33" s="505">
        <f>'Cover Page'!M38</f>
        <v>0</v>
      </c>
      <c r="J33" s="384"/>
      <c r="K33" s="195"/>
      <c r="L33" s="195"/>
      <c r="M33" s="201"/>
      <c r="N33" s="197"/>
      <c r="O33" s="198"/>
      <c r="P33" s="295"/>
      <c r="S33" s="659" t="s">
        <v>281</v>
      </c>
    </row>
    <row r="34" spans="1:19" s="199" customFormat="1" ht="15.75">
      <c r="A34" s="491" t="str">
        <f t="shared" ca="1" si="0"/>
        <v>UFB-11 Shared Services</v>
      </c>
      <c r="B34" s="491">
        <f>ROW()</f>
        <v>34</v>
      </c>
      <c r="C34" s="491" t="str">
        <f>'Cover Page'!K6</f>
        <v>0421</v>
      </c>
      <c r="D34" s="491">
        <f>'Cover Page'!K4</f>
        <v>2020</v>
      </c>
      <c r="E34" s="491" t="s">
        <v>2031</v>
      </c>
      <c r="F34" s="491" t="s">
        <v>2221</v>
      </c>
      <c r="G34" s="491" t="s">
        <v>2222</v>
      </c>
      <c r="H34" s="505">
        <f>'Cover Page'!M38</f>
        <v>0</v>
      </c>
      <c r="J34" s="384"/>
      <c r="K34" s="195"/>
      <c r="L34" s="195"/>
      <c r="M34" s="201"/>
      <c r="N34" s="197"/>
      <c r="O34" s="198"/>
      <c r="P34" s="295"/>
      <c r="S34" s="659" t="s">
        <v>282</v>
      </c>
    </row>
    <row r="35" spans="1:19" s="199" customFormat="1" ht="15.75">
      <c r="A35" s="491" t="str">
        <f t="shared" ca="1" si="0"/>
        <v>UFB-11 Shared Services</v>
      </c>
      <c r="B35" s="491">
        <f>ROW()</f>
        <v>35</v>
      </c>
      <c r="C35" s="491" t="str">
        <f>'Cover Page'!K6</f>
        <v>0421</v>
      </c>
      <c r="D35" s="491">
        <f>'Cover Page'!K4</f>
        <v>2020</v>
      </c>
      <c r="E35" s="491" t="s">
        <v>2031</v>
      </c>
      <c r="F35" s="491" t="s">
        <v>2221</v>
      </c>
      <c r="G35" s="491" t="s">
        <v>2222</v>
      </c>
      <c r="H35" s="505">
        <f>'Cover Page'!M38</f>
        <v>0</v>
      </c>
      <c r="J35" s="384"/>
      <c r="K35" s="195"/>
      <c r="L35" s="195"/>
      <c r="M35" s="201"/>
      <c r="N35" s="197"/>
      <c r="O35" s="198"/>
      <c r="P35" s="295"/>
    </row>
    <row r="36" spans="1:19" s="199" customFormat="1" ht="15.75">
      <c r="A36" s="491" t="str">
        <f t="shared" ca="1" si="0"/>
        <v>UFB-11 Shared Services</v>
      </c>
      <c r="B36" s="491">
        <f>ROW()</f>
        <v>36</v>
      </c>
      <c r="C36" s="491" t="str">
        <f>'Cover Page'!K6</f>
        <v>0421</v>
      </c>
      <c r="D36" s="491">
        <f>'Cover Page'!K4</f>
        <v>2020</v>
      </c>
      <c r="E36" s="491" t="s">
        <v>2031</v>
      </c>
      <c r="F36" s="491" t="s">
        <v>2221</v>
      </c>
      <c r="G36" s="491" t="s">
        <v>2222</v>
      </c>
      <c r="H36" s="505">
        <f>'Cover Page'!M35</f>
        <v>0</v>
      </c>
      <c r="J36" s="384"/>
      <c r="K36" s="195"/>
      <c r="L36" s="195"/>
      <c r="M36" s="201"/>
      <c r="N36" s="197"/>
      <c r="O36" s="198"/>
      <c r="P36" s="295"/>
    </row>
    <row r="37" spans="1:19" s="199" customFormat="1" ht="15.75">
      <c r="A37" s="491" t="str">
        <f t="shared" ca="1" si="0"/>
        <v>UFB-11 Shared Services</v>
      </c>
      <c r="B37" s="491">
        <f>ROW()</f>
        <v>37</v>
      </c>
      <c r="C37" s="491" t="str">
        <f>'Cover Page'!K6</f>
        <v>0421</v>
      </c>
      <c r="D37" s="491">
        <f>'Cover Page'!K4</f>
        <v>2020</v>
      </c>
      <c r="E37" s="491" t="s">
        <v>2031</v>
      </c>
      <c r="F37" s="491" t="s">
        <v>2221</v>
      </c>
      <c r="G37" s="491" t="s">
        <v>2222</v>
      </c>
      <c r="H37" s="505">
        <f>'Cover Page'!M35</f>
        <v>0</v>
      </c>
      <c r="J37" s="384"/>
      <c r="K37" s="195"/>
      <c r="L37" s="195"/>
      <c r="M37" s="201"/>
      <c r="N37" s="197"/>
      <c r="O37" s="198"/>
      <c r="P37" s="295"/>
    </row>
    <row r="38" spans="1:19" s="199" customFormat="1" ht="15.75">
      <c r="A38" s="491" t="str">
        <f t="shared" ca="1" si="0"/>
        <v>UFB-11 Shared Services</v>
      </c>
      <c r="B38" s="491">
        <f>ROW()</f>
        <v>38</v>
      </c>
      <c r="C38" s="491" t="str">
        <f>'Cover Page'!K6</f>
        <v>0421</v>
      </c>
      <c r="D38" s="491">
        <f>'Cover Page'!K4</f>
        <v>2020</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35" t="s">
        <v>208</v>
      </c>
      <c r="K40" s="735"/>
      <c r="L40" s="735"/>
      <c r="M40" s="735"/>
      <c r="N40" s="735"/>
      <c r="O40" s="735"/>
      <c r="P40" s="735"/>
    </row>
    <row r="41" spans="1:19" ht="15.75">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formula1>$S$32:$S$34</formula1>
    </dataValidation>
  </dataValidations>
  <printOptions horizontalCentered="1" verticalCentered="1"/>
  <pageMargins left="0.2" right="0.2" top="0.25" bottom="0.25" header="0.3" footer="0.3"/>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9"/>
  <sheetViews>
    <sheetView topLeftCell="K1" workbookViewId="0">
      <selection activeCell="W32" sqref="W32"/>
    </sheetView>
  </sheetViews>
  <sheetFormatPr defaultRowHeight="15"/>
  <cols>
    <col min="1" max="7" width="9.140625" hidden="1" customWidth="1"/>
    <col min="8" max="8" width="11.28515625" hidden="1" customWidth="1"/>
    <col min="9" max="10" width="9.140625" hidden="1" customWidth="1"/>
  </cols>
  <sheetData>
    <row r="1" spans="1:20" ht="18.75">
      <c r="A1" s="491" t="str">
        <f ca="1">MID(CELL("filename",A2),FIND("]",CELL("filename",A2))+1,256)</f>
        <v>UFB-12 Auth. &amp; Fire Dist.</v>
      </c>
      <c r="B1" s="491">
        <f>ROW()</f>
        <v>1</v>
      </c>
      <c r="C1" s="491" t="str">
        <f>'Cover Page'!K6</f>
        <v>0421</v>
      </c>
      <c r="D1" s="491">
        <f>'Cover Page'!K4</f>
        <v>2020</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0421</v>
      </c>
      <c r="D2" s="491">
        <f>'Cover Page'!K4</f>
        <v>2020</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0421</v>
      </c>
      <c r="D3" s="491">
        <f>'Cover Page'!K4</f>
        <v>2020</v>
      </c>
      <c r="E3" s="491" t="s">
        <v>2031</v>
      </c>
      <c r="F3" s="491" t="s">
        <v>2223</v>
      </c>
      <c r="G3" s="491" t="s">
        <v>121</v>
      </c>
      <c r="H3" s="505">
        <f>'Cover Page'!M38</f>
        <v>0</v>
      </c>
      <c r="K3" s="458" t="s">
        <v>304</v>
      </c>
    </row>
    <row r="4" spans="1:20">
      <c r="A4" s="491" t="str">
        <f t="shared" ca="1" si="0"/>
        <v>UFB-12 Auth. &amp; Fire Dist.</v>
      </c>
      <c r="B4" s="491">
        <f>ROW()</f>
        <v>4</v>
      </c>
      <c r="C4" s="491" t="str">
        <f>'Cover Page'!K6</f>
        <v>0421</v>
      </c>
      <c r="D4" s="491">
        <f>'Cover Page'!K4</f>
        <v>2020</v>
      </c>
      <c r="E4" s="491" t="s">
        <v>2031</v>
      </c>
      <c r="F4" s="491" t="s">
        <v>2223</v>
      </c>
      <c r="G4" s="491" t="s">
        <v>2223</v>
      </c>
      <c r="H4" s="505">
        <f>'Cover Page'!M38</f>
        <v>0</v>
      </c>
      <c r="K4" s="675"/>
      <c r="L4" s="736"/>
      <c r="M4" s="736"/>
      <c r="N4" s="736"/>
      <c r="O4" s="736"/>
      <c r="P4" s="736"/>
      <c r="Q4" s="736"/>
      <c r="R4" s="736"/>
      <c r="S4" s="736"/>
      <c r="T4" s="737"/>
    </row>
    <row r="5" spans="1:20">
      <c r="A5" s="491" t="str">
        <f t="shared" ca="1" si="0"/>
        <v>UFB-12 Auth. &amp; Fire Dist.</v>
      </c>
      <c r="B5" s="491">
        <f>ROW()</f>
        <v>5</v>
      </c>
      <c r="C5" s="491" t="str">
        <f>'Cover Page'!K6</f>
        <v>0421</v>
      </c>
      <c r="D5" s="491">
        <f>'Cover Page'!K4</f>
        <v>2020</v>
      </c>
      <c r="E5" s="491" t="s">
        <v>2031</v>
      </c>
      <c r="F5" s="491" t="s">
        <v>2223</v>
      </c>
      <c r="G5" s="491" t="s">
        <v>2223</v>
      </c>
      <c r="H5" s="505">
        <f>'Cover Page'!M38</f>
        <v>0</v>
      </c>
      <c r="K5" s="675"/>
      <c r="L5" s="736"/>
      <c r="M5" s="736"/>
      <c r="N5" s="736"/>
      <c r="O5" s="736"/>
      <c r="P5" s="736"/>
      <c r="Q5" s="736"/>
      <c r="R5" s="736"/>
      <c r="S5" s="736"/>
      <c r="T5" s="737"/>
    </row>
    <row r="6" spans="1:20">
      <c r="A6" s="491" t="str">
        <f t="shared" ca="1" si="0"/>
        <v>UFB-12 Auth. &amp; Fire Dist.</v>
      </c>
      <c r="B6" s="491">
        <f>ROW()</f>
        <v>6</v>
      </c>
      <c r="C6" s="491" t="str">
        <f>'Cover Page'!K6</f>
        <v>0421</v>
      </c>
      <c r="D6" s="491">
        <f>'Cover Page'!K4</f>
        <v>2020</v>
      </c>
      <c r="E6" s="491" t="s">
        <v>2031</v>
      </c>
      <c r="F6" s="491" t="s">
        <v>2223</v>
      </c>
      <c r="G6" s="491" t="s">
        <v>2223</v>
      </c>
      <c r="H6" s="505">
        <f>'Cover Page'!M38</f>
        <v>0</v>
      </c>
      <c r="K6" s="675"/>
      <c r="L6" s="736"/>
      <c r="M6" s="736"/>
      <c r="N6" s="736"/>
      <c r="O6" s="736"/>
      <c r="P6" s="736"/>
      <c r="Q6" s="736"/>
      <c r="R6" s="736"/>
      <c r="S6" s="736"/>
      <c r="T6" s="737"/>
    </row>
    <row r="7" spans="1:20">
      <c r="A7" s="491" t="str">
        <f t="shared" ca="1" si="0"/>
        <v>UFB-12 Auth. &amp; Fire Dist.</v>
      </c>
      <c r="B7" s="491">
        <f>ROW()</f>
        <v>7</v>
      </c>
      <c r="C7" s="491" t="str">
        <f>'Cover Page'!K6</f>
        <v>0421</v>
      </c>
      <c r="D7" s="491">
        <f>'Cover Page'!K4</f>
        <v>2020</v>
      </c>
      <c r="E7" s="491" t="s">
        <v>2031</v>
      </c>
      <c r="F7" s="491" t="s">
        <v>2223</v>
      </c>
      <c r="G7" s="491" t="s">
        <v>2223</v>
      </c>
      <c r="H7" s="505">
        <f>'Cover Page'!M38</f>
        <v>0</v>
      </c>
      <c r="K7" s="675"/>
      <c r="L7" s="736"/>
      <c r="M7" s="736"/>
      <c r="N7" s="736"/>
      <c r="O7" s="736"/>
      <c r="P7" s="736"/>
      <c r="Q7" s="736"/>
      <c r="R7" s="736"/>
      <c r="S7" s="736"/>
      <c r="T7" s="737"/>
    </row>
    <row r="8" spans="1:20">
      <c r="A8" s="491" t="str">
        <f t="shared" ca="1" si="0"/>
        <v>UFB-12 Auth. &amp; Fire Dist.</v>
      </c>
      <c r="B8" s="491">
        <f>ROW()</f>
        <v>8</v>
      </c>
      <c r="C8" s="491" t="str">
        <f>'Cover Page'!K6</f>
        <v>0421</v>
      </c>
      <c r="D8" s="491">
        <f>'Cover Page'!K4</f>
        <v>2020</v>
      </c>
      <c r="E8" s="491" t="s">
        <v>2031</v>
      </c>
      <c r="F8" s="491" t="s">
        <v>2223</v>
      </c>
      <c r="G8" s="491" t="s">
        <v>2223</v>
      </c>
      <c r="H8" s="505">
        <f>'Cover Page'!M38</f>
        <v>0</v>
      </c>
      <c r="K8" s="675"/>
      <c r="L8" s="736"/>
      <c r="M8" s="736"/>
      <c r="N8" s="736"/>
      <c r="O8" s="736"/>
      <c r="P8" s="736"/>
      <c r="Q8" s="736"/>
      <c r="R8" s="736"/>
      <c r="S8" s="736"/>
      <c r="T8" s="737"/>
    </row>
    <row r="9" spans="1:20">
      <c r="A9" s="491" t="str">
        <f t="shared" ca="1" si="0"/>
        <v>UFB-12 Auth. &amp; Fire Dist.</v>
      </c>
      <c r="B9" s="491">
        <f>ROW()</f>
        <v>9</v>
      </c>
      <c r="C9" s="491" t="str">
        <f>'Cover Page'!K6</f>
        <v>0421</v>
      </c>
      <c r="D9" s="491">
        <f>'Cover Page'!K4</f>
        <v>2020</v>
      </c>
      <c r="E9" s="491" t="s">
        <v>2031</v>
      </c>
      <c r="F9" s="491" t="s">
        <v>2223</v>
      </c>
      <c r="G9" s="491" t="s">
        <v>2223</v>
      </c>
      <c r="H9" s="505">
        <f>'Cover Page'!M38</f>
        <v>0</v>
      </c>
      <c r="K9" s="675"/>
      <c r="L9" s="736"/>
      <c r="M9" s="736"/>
      <c r="N9" s="736"/>
      <c r="O9" s="736"/>
      <c r="P9" s="736"/>
      <c r="Q9" s="736"/>
      <c r="R9" s="736"/>
      <c r="S9" s="736"/>
      <c r="T9" s="737"/>
    </row>
    <row r="10" spans="1:20">
      <c r="A10" s="491" t="str">
        <f ca="1">MID(CELL("filename",A10),FIND("]",CELL("filename",A10))+1,256)</f>
        <v>UFB-12 Auth. &amp; Fire Dist.</v>
      </c>
      <c r="B10" s="491">
        <f>ROW()</f>
        <v>10</v>
      </c>
      <c r="C10" s="491" t="str">
        <f>'Cover Page'!K6</f>
        <v>0421</v>
      </c>
      <c r="D10" s="491">
        <f>'Cover Page'!K4</f>
        <v>2020</v>
      </c>
      <c r="E10" s="491" t="s">
        <v>2031</v>
      </c>
      <c r="F10" s="491" t="s">
        <v>2223</v>
      </c>
      <c r="G10" s="491" t="s">
        <v>2223</v>
      </c>
      <c r="H10" s="505">
        <f>'Cover Page'!M38</f>
        <v>0</v>
      </c>
      <c r="K10" s="675"/>
      <c r="L10" s="736"/>
      <c r="M10" s="736"/>
      <c r="N10" s="736"/>
      <c r="O10" s="736"/>
      <c r="P10" s="736"/>
      <c r="Q10" s="736"/>
      <c r="R10" s="736"/>
      <c r="S10" s="736"/>
      <c r="T10" s="737"/>
    </row>
    <row r="11" spans="1:20">
      <c r="A11" s="491" t="str">
        <f ca="1">MID(CELL("filename",A11),FIND("]",CELL("filename",A11))+1,256)</f>
        <v>UFB-12 Auth. &amp; Fire Dist.</v>
      </c>
      <c r="B11" s="491">
        <f>ROW()</f>
        <v>11</v>
      </c>
      <c r="C11" s="491" t="str">
        <f>'Cover Page'!K6</f>
        <v>0421</v>
      </c>
      <c r="D11" s="491">
        <f>'Cover Page'!K4</f>
        <v>2020</v>
      </c>
      <c r="E11" s="491" t="s">
        <v>2031</v>
      </c>
      <c r="F11" s="491" t="s">
        <v>2223</v>
      </c>
      <c r="G11" s="491" t="s">
        <v>2223</v>
      </c>
      <c r="H11" s="505">
        <f>'Cover Page'!M38</f>
        <v>0</v>
      </c>
      <c r="K11" s="675"/>
      <c r="L11" s="736"/>
      <c r="M11" s="736"/>
      <c r="N11" s="736"/>
      <c r="O11" s="736"/>
      <c r="P11" s="736"/>
      <c r="Q11" s="736"/>
      <c r="R11" s="736"/>
      <c r="S11" s="736"/>
      <c r="T11" s="737"/>
    </row>
    <row r="12" spans="1:20">
      <c r="A12" s="491" t="str">
        <f ca="1">MID(CELL("filename",A12),FIND("]",CELL("filename",A12))+1,256)</f>
        <v>UFB-12 Auth. &amp; Fire Dist.</v>
      </c>
      <c r="B12" s="491">
        <f>ROW()</f>
        <v>12</v>
      </c>
      <c r="C12" s="491" t="str">
        <f>'Cover Page'!K6</f>
        <v>0421</v>
      </c>
      <c r="D12" s="491">
        <f>'Cover Page'!K4</f>
        <v>2020</v>
      </c>
      <c r="E12" s="491" t="s">
        <v>2031</v>
      </c>
      <c r="F12" s="491" t="s">
        <v>2223</v>
      </c>
      <c r="G12" s="491" t="s">
        <v>2223</v>
      </c>
      <c r="H12" s="505">
        <f>'Cover Page'!M38</f>
        <v>0</v>
      </c>
      <c r="K12" s="675"/>
      <c r="L12" s="736"/>
      <c r="M12" s="736"/>
      <c r="N12" s="736"/>
      <c r="O12" s="736"/>
      <c r="P12" s="736"/>
      <c r="Q12" s="736"/>
      <c r="R12" s="736"/>
      <c r="S12" s="736"/>
      <c r="T12" s="737"/>
    </row>
    <row r="13" spans="1:20">
      <c r="A13" s="491" t="str">
        <f ca="1">MID(CELL("filename",A13),FIND("]",CELL("filename",A13))+1,256)</f>
        <v>UFB-12 Auth. &amp; Fire Dist.</v>
      </c>
      <c r="B13" s="491">
        <f>ROW()</f>
        <v>13</v>
      </c>
      <c r="C13" s="491" t="str">
        <f>'Cover Page'!K6</f>
        <v>0421</v>
      </c>
      <c r="D13" s="491">
        <f>'Cover Page'!K4</f>
        <v>2020</v>
      </c>
      <c r="E13" s="491" t="s">
        <v>2031</v>
      </c>
      <c r="F13" s="491" t="s">
        <v>2223</v>
      </c>
      <c r="G13" s="491" t="s">
        <v>2223</v>
      </c>
      <c r="H13" s="505">
        <f>'Cover Page'!M38</f>
        <v>0</v>
      </c>
      <c r="K13" s="675"/>
      <c r="L13" s="736"/>
      <c r="M13" s="736"/>
      <c r="N13" s="736"/>
      <c r="O13" s="736"/>
      <c r="P13" s="736"/>
      <c r="Q13" s="736"/>
      <c r="R13" s="736"/>
      <c r="S13" s="736"/>
      <c r="T13" s="737"/>
    </row>
    <row r="14" spans="1:20">
      <c r="A14" s="491" t="str">
        <f t="shared" ca="1" si="0"/>
        <v>UFB-12 Auth. &amp; Fire Dist.</v>
      </c>
      <c r="B14" s="491">
        <f>ROW()</f>
        <v>14</v>
      </c>
      <c r="C14" s="491" t="str">
        <f>'Cover Page'!K6</f>
        <v>0421</v>
      </c>
      <c r="D14" s="491">
        <f>'Cover Page'!K4</f>
        <v>2020</v>
      </c>
      <c r="E14" s="491" t="s">
        <v>2031</v>
      </c>
      <c r="F14" s="491" t="s">
        <v>2223</v>
      </c>
      <c r="G14" s="491" t="s">
        <v>2223</v>
      </c>
      <c r="H14" s="505">
        <f>'Cover Page'!M38</f>
        <v>0</v>
      </c>
      <c r="K14" s="675"/>
      <c r="L14" s="736"/>
      <c r="M14" s="736"/>
      <c r="N14" s="736"/>
      <c r="O14" s="736"/>
      <c r="P14" s="736"/>
      <c r="Q14" s="736"/>
      <c r="R14" s="736"/>
      <c r="S14" s="736"/>
      <c r="T14" s="737"/>
    </row>
    <row r="15" spans="1:20">
      <c r="A15" s="491" t="str">
        <f t="shared" ca="1" si="0"/>
        <v>UFB-12 Auth. &amp; Fire Dist.</v>
      </c>
      <c r="B15" s="491">
        <f>ROW()</f>
        <v>15</v>
      </c>
      <c r="C15" s="491" t="str">
        <f>'Cover Page'!K6</f>
        <v>0421</v>
      </c>
      <c r="D15" s="491">
        <f>'Cover Page'!K4</f>
        <v>2020</v>
      </c>
      <c r="E15" s="491" t="s">
        <v>2031</v>
      </c>
      <c r="F15" s="491" t="s">
        <v>2223</v>
      </c>
      <c r="G15" s="491" t="s">
        <v>2223</v>
      </c>
      <c r="H15" s="505">
        <f>'Cover Page'!M38</f>
        <v>0</v>
      </c>
      <c r="K15" s="675"/>
      <c r="L15" s="736"/>
      <c r="M15" s="736"/>
      <c r="N15" s="736"/>
      <c r="O15" s="736"/>
      <c r="P15" s="736"/>
      <c r="Q15" s="736"/>
      <c r="R15" s="736"/>
      <c r="S15" s="736"/>
      <c r="T15" s="737"/>
    </row>
    <row r="16" spans="1:20">
      <c r="A16" s="491" t="str">
        <f t="shared" ca="1" si="0"/>
        <v>UFB-12 Auth. &amp; Fire Dist.</v>
      </c>
      <c r="B16" s="491">
        <f>ROW()</f>
        <v>16</v>
      </c>
      <c r="C16" s="491" t="str">
        <f>'Cover Page'!K6</f>
        <v>0421</v>
      </c>
      <c r="D16" s="491">
        <f>'Cover Page'!K4</f>
        <v>2020</v>
      </c>
      <c r="E16" s="491" t="s">
        <v>2031</v>
      </c>
      <c r="F16" s="491" t="s">
        <v>2223</v>
      </c>
      <c r="G16" s="491" t="s">
        <v>2223</v>
      </c>
      <c r="H16" s="505">
        <f>'Cover Page'!M38</f>
        <v>0</v>
      </c>
      <c r="K16" s="675"/>
      <c r="L16" s="736"/>
      <c r="M16" s="736"/>
      <c r="N16" s="736"/>
      <c r="O16" s="736"/>
      <c r="P16" s="736"/>
      <c r="Q16" s="736"/>
      <c r="R16" s="736"/>
      <c r="S16" s="736"/>
      <c r="T16" s="737"/>
    </row>
    <row r="17" spans="1:20">
      <c r="A17" s="491" t="str">
        <f t="shared" ca="1" si="0"/>
        <v>UFB-12 Auth. &amp; Fire Dist.</v>
      </c>
      <c r="B17" s="491">
        <f>ROW()</f>
        <v>17</v>
      </c>
      <c r="C17" s="491" t="str">
        <f>'Cover Page'!K6</f>
        <v>0421</v>
      </c>
      <c r="D17" s="491">
        <f>'Cover Page'!K4</f>
        <v>2020</v>
      </c>
      <c r="E17" s="491" t="s">
        <v>2031</v>
      </c>
      <c r="F17" s="491" t="s">
        <v>2223</v>
      </c>
      <c r="G17" s="491" t="s">
        <v>2223</v>
      </c>
      <c r="H17" s="505">
        <f>'Cover Page'!M38</f>
        <v>0</v>
      </c>
      <c r="K17" s="675"/>
      <c r="L17" s="736"/>
      <c r="M17" s="736"/>
      <c r="N17" s="736"/>
      <c r="O17" s="736"/>
      <c r="P17" s="736"/>
      <c r="Q17" s="736"/>
      <c r="R17" s="736"/>
      <c r="S17" s="736"/>
      <c r="T17" s="737"/>
    </row>
    <row r="18" spans="1:20">
      <c r="A18" s="491" t="str">
        <f t="shared" ca="1" si="0"/>
        <v>UFB-12 Auth. &amp; Fire Dist.</v>
      </c>
      <c r="B18" s="491">
        <f>ROW()</f>
        <v>18</v>
      </c>
      <c r="C18" s="491" t="str">
        <f>'Cover Page'!K6</f>
        <v>0421</v>
      </c>
      <c r="D18" s="491">
        <f>'Cover Page'!K4</f>
        <v>2020</v>
      </c>
      <c r="E18" s="491" t="s">
        <v>2031</v>
      </c>
      <c r="F18" s="491" t="s">
        <v>2223</v>
      </c>
      <c r="G18" s="491" t="s">
        <v>2223</v>
      </c>
      <c r="H18" s="505">
        <f>'Cover Page'!M38</f>
        <v>0</v>
      </c>
      <c r="K18" s="675"/>
      <c r="L18" s="736"/>
      <c r="M18" s="736"/>
      <c r="N18" s="736"/>
      <c r="O18" s="736"/>
      <c r="P18" s="736"/>
      <c r="Q18" s="736"/>
      <c r="R18" s="736"/>
      <c r="S18" s="736"/>
      <c r="T18" s="737"/>
    </row>
    <row r="19" spans="1:20">
      <c r="A19" s="491" t="str">
        <f t="shared" ca="1" si="0"/>
        <v>UFB-12 Auth. &amp; Fire Dist.</v>
      </c>
      <c r="B19" s="491">
        <f>ROW()</f>
        <v>19</v>
      </c>
      <c r="C19" s="491" t="str">
        <f>'Cover Page'!K6</f>
        <v>0421</v>
      </c>
      <c r="D19" s="491">
        <f>'Cover Page'!K4</f>
        <v>2020</v>
      </c>
      <c r="E19" s="491" t="s">
        <v>2031</v>
      </c>
      <c r="F19" s="491" t="s">
        <v>2223</v>
      </c>
      <c r="G19" s="491" t="s">
        <v>2223</v>
      </c>
      <c r="H19" s="505">
        <f>'Cover Page'!M38</f>
        <v>0</v>
      </c>
      <c r="K19" s="675"/>
      <c r="L19" s="736"/>
      <c r="M19" s="736"/>
      <c r="N19" s="736"/>
      <c r="O19" s="736"/>
      <c r="P19" s="736"/>
      <c r="Q19" s="736"/>
      <c r="R19" s="736"/>
      <c r="S19" s="736"/>
      <c r="T19" s="737"/>
    </row>
    <row r="20" spans="1:20">
      <c r="A20" s="491" t="str">
        <f t="shared" ca="1" si="0"/>
        <v>UFB-12 Auth. &amp; Fire Dist.</v>
      </c>
      <c r="B20" s="491">
        <f>ROW()</f>
        <v>20</v>
      </c>
      <c r="C20" s="491" t="str">
        <f>'Cover Page'!K6</f>
        <v>0421</v>
      </c>
      <c r="D20" s="491">
        <f>'Cover Page'!K4</f>
        <v>2020</v>
      </c>
      <c r="E20" s="491" t="s">
        <v>2031</v>
      </c>
      <c r="F20" s="491" t="s">
        <v>2223</v>
      </c>
      <c r="G20" s="491" t="s">
        <v>2223</v>
      </c>
      <c r="H20" s="505">
        <f>'Cover Page'!M38</f>
        <v>0</v>
      </c>
      <c r="K20" s="675"/>
      <c r="L20" s="736"/>
      <c r="M20" s="736"/>
      <c r="N20" s="736"/>
      <c r="O20" s="736"/>
      <c r="P20" s="736"/>
      <c r="Q20" s="736"/>
      <c r="R20" s="736"/>
      <c r="S20" s="736"/>
      <c r="T20" s="73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4:T4"/>
    <mergeCell ref="K5:T5"/>
    <mergeCell ref="K6:T6"/>
    <mergeCell ref="K7:T7"/>
    <mergeCell ref="K8:T8"/>
    <mergeCell ref="K20:T20"/>
    <mergeCell ref="K9:T9"/>
    <mergeCell ref="K10:T10"/>
    <mergeCell ref="K11:T11"/>
    <mergeCell ref="K12:T12"/>
    <mergeCell ref="K13:T13"/>
    <mergeCell ref="K14:T14"/>
    <mergeCell ref="K15:T15"/>
    <mergeCell ref="K16:T16"/>
    <mergeCell ref="K17:T17"/>
    <mergeCell ref="K18:T18"/>
    <mergeCell ref="K19:T19"/>
  </mergeCells>
  <printOptions horizontalCentered="1" verticalCentered="1"/>
  <pageMargins left="0.2" right="0.2" top="0.25" bottom="0.2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587"/>
  <sheetViews>
    <sheetView workbookViewId="0">
      <selection activeCell="G5" sqref="G5"/>
    </sheetView>
  </sheetViews>
  <sheetFormatPr defaultRowHeight="15"/>
  <cols>
    <col min="1" max="1" width="58.7109375" bestFit="1" customWidth="1"/>
  </cols>
  <sheetData>
    <row r="1" spans="1:7" ht="15.75">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8"/>
  <sheetViews>
    <sheetView topLeftCell="J1" zoomScaleNormal="100" workbookViewId="0">
      <selection activeCell="J4" sqref="J4"/>
    </sheetView>
  </sheetViews>
  <sheetFormatPr defaultRowHeight="15"/>
  <cols>
    <col min="1" max="9" width="0" hidden="1" customWidth="1"/>
    <col min="10" max="10" width="125.7109375" customWidth="1"/>
    <col min="11" max="11" width="4" customWidth="1"/>
    <col min="12" max="12" width="125.7109375" customWidth="1"/>
  </cols>
  <sheetData>
    <row r="1" spans="1:12" ht="18.75">
      <c r="J1" s="685" t="s">
        <v>2293</v>
      </c>
      <c r="K1" s="685"/>
      <c r="L1" s="685"/>
    </row>
    <row r="3" spans="1:12" s="1" customFormat="1" ht="12.75">
      <c r="A3" s="491" t="str">
        <f ca="1">MID(CELL("filename",A4),FIND("]",CELL("filename",A4))+1,256)</f>
        <v>Notes</v>
      </c>
      <c r="B3" s="491">
        <f>ROW()</f>
        <v>3</v>
      </c>
      <c r="C3" s="491" t="str">
        <f>'Cover Page'!K6</f>
        <v>0421</v>
      </c>
      <c r="D3" s="491">
        <f>'Cover Page'!K4</f>
        <v>2020</v>
      </c>
      <c r="E3" s="491" t="s">
        <v>2031</v>
      </c>
      <c r="F3" s="491" t="s">
        <v>2291</v>
      </c>
      <c r="G3" s="491"/>
      <c r="H3" s="505">
        <f>'Cover Page'!M38</f>
        <v>0</v>
      </c>
      <c r="J3" s="641" t="s">
        <v>2294</v>
      </c>
    </row>
    <row r="4" spans="1:12" s="41" customFormat="1" ht="399.95" customHeight="1">
      <c r="A4" s="491" t="str">
        <f ca="1">MID(CELL("filename",A4),FIND("]",CELL("filename",A4))+1,256)</f>
        <v>Notes</v>
      </c>
      <c r="B4" s="491">
        <f>ROW()</f>
        <v>4</v>
      </c>
      <c r="C4" s="491" t="str">
        <f>'Cover Page'!K6</f>
        <v>0421</v>
      </c>
      <c r="D4" s="491">
        <f>'Cover Page'!K4</f>
        <v>2020</v>
      </c>
      <c r="E4" s="491" t="s">
        <v>2031</v>
      </c>
      <c r="F4" s="491" t="s">
        <v>2291</v>
      </c>
      <c r="G4" s="491" t="s">
        <v>121</v>
      </c>
      <c r="H4" s="505">
        <f>'Cover Page'!M38</f>
        <v>0</v>
      </c>
      <c r="J4" s="640" t="s">
        <v>2292</v>
      </c>
      <c r="K4" s="638"/>
      <c r="L4" s="639"/>
    </row>
    <row r="5" spans="1:12" s="41" customFormat="1" ht="399.95" customHeight="1">
      <c r="A5" s="491" t="str">
        <f t="shared" ref="A5:A8" ca="1" si="0">MID(CELL("filename",A5),FIND("]",CELL("filename",A5))+1,256)</f>
        <v>Notes</v>
      </c>
      <c r="B5" s="491">
        <f>ROW()</f>
        <v>5</v>
      </c>
      <c r="C5" s="491" t="str">
        <f>'Cover Page'!K6</f>
        <v>0421</v>
      </c>
      <c r="D5" s="491">
        <f>'Cover Page'!K4</f>
        <v>2020</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0421</v>
      </c>
      <c r="D6" s="491">
        <f>'Cover Page'!K4</f>
        <v>2020</v>
      </c>
      <c r="E6" s="491" t="s">
        <v>2031</v>
      </c>
      <c r="F6" s="491" t="s">
        <v>2291</v>
      </c>
      <c r="G6" s="491" t="s">
        <v>121</v>
      </c>
      <c r="H6" s="505">
        <f>'Cover Page'!M38</f>
        <v>0</v>
      </c>
      <c r="J6" s="212"/>
    </row>
    <row r="7" spans="1:12" s="1" customFormat="1" ht="12.75">
      <c r="A7" s="491" t="str">
        <f t="shared" ca="1" si="0"/>
        <v>Notes</v>
      </c>
      <c r="B7" s="491">
        <f>ROW()</f>
        <v>7</v>
      </c>
      <c r="C7" s="491" t="str">
        <f>'Cover Page'!K6</f>
        <v>0421</v>
      </c>
      <c r="D7" s="491">
        <f>'Cover Page'!K4</f>
        <v>2020</v>
      </c>
      <c r="E7" s="491" t="s">
        <v>2031</v>
      </c>
      <c r="F7" s="491" t="s">
        <v>2291</v>
      </c>
      <c r="G7" s="491" t="s">
        <v>121</v>
      </c>
      <c r="H7" s="505">
        <f>'Cover Page'!M38</f>
        <v>0</v>
      </c>
      <c r="J7" s="26"/>
    </row>
    <row r="8" spans="1:12" s="1" customFormat="1" ht="12.75">
      <c r="A8" s="491" t="str">
        <f t="shared" ca="1" si="0"/>
        <v>Notes</v>
      </c>
      <c r="B8" s="491">
        <f>ROW()</f>
        <v>8</v>
      </c>
      <c r="C8" s="491" t="str">
        <f>'Cover Page'!K6</f>
        <v>0421</v>
      </c>
      <c r="D8" s="491">
        <f>'Cover Page'!K4</f>
        <v>2020</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J5:K29"/>
  <sheetViews>
    <sheetView workbookViewId="0">
      <selection activeCell="K5" sqref="K5"/>
    </sheetView>
  </sheetViews>
  <sheetFormatPr defaultRowHeight="15"/>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4"/>
  <sheetViews>
    <sheetView topLeftCell="J1" workbookViewId="0">
      <selection activeCell="S39" sqref="S39"/>
    </sheetView>
  </sheetViews>
  <sheetFormatPr defaultColWidth="10.5703125" defaultRowHeight="12.75"/>
  <cols>
    <col min="1" max="9" width="10.5703125" style="1" hidden="1" customWidth="1"/>
    <col min="10" max="10" width="2" style="1" customWidth="1"/>
    <col min="11" max="11" width="27.85546875" style="1" customWidth="1"/>
    <col min="12" max="12" width="14.5703125" style="1" customWidth="1"/>
    <col min="13" max="13" width="16.85546875" style="1" customWidth="1"/>
    <col min="14" max="15" width="14.5703125" style="1" customWidth="1"/>
    <col min="16" max="16" width="1.28515625" style="1" customWidth="1"/>
    <col min="17" max="17" width="35.140625" style="1" customWidth="1"/>
    <col min="18" max="19" width="16.85546875" style="1" customWidth="1"/>
    <col min="20" max="20" width="2" style="1" customWidth="1"/>
    <col min="21" max="21" width="10.5703125" style="1"/>
    <col min="22" max="22" width="21" style="1" hidden="1" customWidth="1"/>
    <col min="23" max="23" width="10.5703125" style="1" hidden="1" customWidth="1"/>
    <col min="24" max="16384" width="10.5703125" style="1"/>
  </cols>
  <sheetData>
    <row r="1" spans="1:20" ht="18.75">
      <c r="A1" s="491" t="str">
        <f ca="1">MID(CELL("filename",A2),FIND("]",CELL("filename",A2))+1,256)</f>
        <v>UFB-1 Tax Impact</v>
      </c>
      <c r="B1" s="491">
        <f>ROW()</f>
        <v>1</v>
      </c>
      <c r="C1" s="491" t="str">
        <f>'Cover Page'!K6</f>
        <v>0421</v>
      </c>
      <c r="D1" s="491">
        <f>'Cover Page'!K4</f>
        <v>2020</v>
      </c>
      <c r="E1" s="491" t="s">
        <v>2031</v>
      </c>
      <c r="F1" s="493" t="s">
        <v>2065</v>
      </c>
      <c r="G1" s="491"/>
      <c r="H1" s="505">
        <f>'Cover Page'!M38</f>
        <v>0</v>
      </c>
      <c r="I1" s="432"/>
      <c r="J1" s="685" t="s">
        <v>266</v>
      </c>
      <c r="K1" s="685"/>
      <c r="L1" s="685"/>
      <c r="M1" s="685"/>
      <c r="N1" s="685"/>
      <c r="O1" s="685"/>
      <c r="P1" s="685"/>
      <c r="Q1" s="685"/>
      <c r="R1" s="685"/>
      <c r="S1" s="685"/>
      <c r="T1" s="685"/>
    </row>
    <row r="2" spans="1:20" ht="15">
      <c r="A2" s="491" t="str">
        <f ca="1">MID(CELL("filename",A2),FIND("]",CELL("filename",A2))+1,256)</f>
        <v>UFB-1 Tax Impact</v>
      </c>
      <c r="B2" s="491">
        <f>ROW()</f>
        <v>2</v>
      </c>
      <c r="C2" s="491" t="str">
        <f>'Cover Page'!K6</f>
        <v>0421</v>
      </c>
      <c r="D2" s="491">
        <f>'Cover Page'!K4</f>
        <v>2020</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2" ca="1" si="0">MID(CELL("filename",A3),FIND("]",CELL("filename",A3))+1,256)</f>
        <v>UFB-1 Tax Impact</v>
      </c>
      <c r="B3" s="491">
        <f>ROW()</f>
        <v>3</v>
      </c>
      <c r="C3" s="491" t="str">
        <f>'Cover Page'!K6</f>
        <v>0421</v>
      </c>
      <c r="D3" s="491">
        <f>'Cover Page'!K4</f>
        <v>2020</v>
      </c>
      <c r="E3" s="491" t="s">
        <v>2031</v>
      </c>
      <c r="F3" s="493" t="s">
        <v>2065</v>
      </c>
      <c r="G3" s="491" t="s">
        <v>121</v>
      </c>
      <c r="H3" s="505">
        <f>'Cover Page'!M38</f>
        <v>0</v>
      </c>
      <c r="I3" s="432"/>
      <c r="J3" s="688" t="str">
        <f>'Cover Page'!K4-1&amp;" Calendar Year Property Tax Levies - ALL entities levying property taxes"</f>
        <v>2019 Calendar Year Property Tax Levies - ALL entities levying property taxes</v>
      </c>
      <c r="K3" s="689"/>
      <c r="L3" s="689"/>
      <c r="M3" s="689"/>
      <c r="N3" s="689"/>
      <c r="O3" s="302"/>
      <c r="P3" s="321"/>
      <c r="Q3" s="686" t="str">
        <f>"Current Year "&amp;'Cover Page'!K4&amp;" Budget"</f>
        <v>Current Year 2020 Budget</v>
      </c>
      <c r="R3" s="687"/>
      <c r="S3" s="306"/>
      <c r="T3" s="305"/>
    </row>
    <row r="4" spans="1:20" ht="15">
      <c r="A4" s="491" t="str">
        <f t="shared" ca="1" si="0"/>
        <v>UFB-1 Tax Impact</v>
      </c>
      <c r="B4" s="491">
        <f>ROW()</f>
        <v>4</v>
      </c>
      <c r="C4" s="491" t="str">
        <f>'Cover Page'!K6</f>
        <v>0421</v>
      </c>
      <c r="D4" s="491">
        <f>'Cover Page'!K4</f>
        <v>2020</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5">
      <c r="A5" s="491" t="str">
        <f t="shared" ca="1" si="0"/>
        <v>UFB-1 Tax Impact</v>
      </c>
      <c r="B5" s="491">
        <f>ROW()</f>
        <v>5</v>
      </c>
      <c r="C5" s="491" t="str">
        <f>'Cover Page'!K6</f>
        <v>0421</v>
      </c>
      <c r="D5" s="491">
        <f>'Cover Page'!K4</f>
        <v>2020</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0421</v>
      </c>
      <c r="D6" s="491">
        <f>'Cover Page'!K4</f>
        <v>2020</v>
      </c>
      <c r="E6" s="491" t="s">
        <v>2031</v>
      </c>
      <c r="F6" s="493" t="s">
        <v>2065</v>
      </c>
      <c r="G6" s="491" t="s">
        <v>2066</v>
      </c>
      <c r="H6" s="505">
        <f>'Cover Page'!M38</f>
        <v>0</v>
      </c>
      <c r="I6" s="491" t="s">
        <v>2066</v>
      </c>
      <c r="J6" s="13"/>
      <c r="K6" s="22" t="s">
        <v>9</v>
      </c>
      <c r="L6" s="308">
        <v>0.94699999999999995</v>
      </c>
      <c r="M6" s="253">
        <v>2000000</v>
      </c>
      <c r="N6" s="23">
        <f>M6/M19</f>
        <v>0.22723174396196061</v>
      </c>
      <c r="O6" s="666">
        <v>0</v>
      </c>
      <c r="P6" s="322"/>
      <c r="Q6" s="22" t="s">
        <v>9</v>
      </c>
      <c r="R6" s="600" t="s">
        <v>10</v>
      </c>
      <c r="S6" s="613">
        <v>2000000</v>
      </c>
      <c r="T6" s="325"/>
    </row>
    <row r="7" spans="1:20" s="20" customFormat="1">
      <c r="A7" s="491" t="str">
        <f t="shared" ca="1" si="0"/>
        <v>UFB-1 Tax Impact</v>
      </c>
      <c r="B7" s="491">
        <f>ROW()</f>
        <v>7</v>
      </c>
      <c r="C7" s="491" t="str">
        <f>'Cover Page'!K6</f>
        <v>0421</v>
      </c>
      <c r="D7" s="491">
        <f>'Cover Page'!K4</f>
        <v>2020</v>
      </c>
      <c r="E7" s="491" t="s">
        <v>2031</v>
      </c>
      <c r="F7" s="493" t="s">
        <v>2065</v>
      </c>
      <c r="G7" s="491" t="s">
        <v>2067</v>
      </c>
      <c r="H7" s="505">
        <f>'Cover Page'!M38</f>
        <v>0</v>
      </c>
      <c r="I7" s="491" t="s">
        <v>2067</v>
      </c>
      <c r="J7" s="13"/>
      <c r="K7" s="516" t="s">
        <v>11</v>
      </c>
      <c r="L7" s="529"/>
      <c r="M7" s="530"/>
      <c r="N7" s="23">
        <f>M7/M19</f>
        <v>0</v>
      </c>
      <c r="O7" s="667">
        <v>0</v>
      </c>
      <c r="P7" s="322"/>
      <c r="Q7" s="20" t="s">
        <v>11</v>
      </c>
      <c r="R7" s="600"/>
      <c r="S7" s="614"/>
      <c r="T7" s="326"/>
    </row>
    <row r="8" spans="1:20" s="20" customFormat="1">
      <c r="A8" s="491" t="str">
        <f t="shared" ca="1" si="0"/>
        <v>UFB-1 Tax Impact</v>
      </c>
      <c r="B8" s="491">
        <f>ROW()</f>
        <v>8</v>
      </c>
      <c r="C8" s="491" t="str">
        <f>'Cover Page'!K6</f>
        <v>0421</v>
      </c>
      <c r="D8" s="491">
        <f>'Cover Page'!K4</f>
        <v>2020</v>
      </c>
      <c r="E8" s="491" t="s">
        <v>2031</v>
      </c>
      <c r="F8" s="493" t="s">
        <v>2065</v>
      </c>
      <c r="G8" s="491" t="s">
        <v>2068</v>
      </c>
      <c r="H8" s="505">
        <f>'Cover Page'!M38</f>
        <v>0</v>
      </c>
      <c r="I8" s="491" t="s">
        <v>2068</v>
      </c>
      <c r="J8" s="13"/>
      <c r="K8" s="516" t="s">
        <v>12</v>
      </c>
      <c r="L8" s="529"/>
      <c r="M8" s="530"/>
      <c r="N8" s="23">
        <f>M8/M19</f>
        <v>0</v>
      </c>
      <c r="O8" s="667">
        <v>0</v>
      </c>
      <c r="P8" s="322"/>
      <c r="Q8" s="25" t="s">
        <v>12</v>
      </c>
      <c r="R8" s="600"/>
      <c r="S8" s="615"/>
      <c r="T8" s="326"/>
    </row>
    <row r="9" spans="1:20" s="20" customFormat="1">
      <c r="A9" s="491" t="str">
        <f t="shared" ca="1" si="0"/>
        <v>UFB-1 Tax Impact</v>
      </c>
      <c r="B9" s="491">
        <f>ROW()</f>
        <v>9</v>
      </c>
      <c r="C9" s="491" t="str">
        <f>'Cover Page'!K6</f>
        <v>0421</v>
      </c>
      <c r="D9" s="491">
        <f>'Cover Page'!K4</f>
        <v>2020</v>
      </c>
      <c r="E9" s="491" t="s">
        <v>2031</v>
      </c>
      <c r="F9" s="493" t="s">
        <v>2065</v>
      </c>
      <c r="G9" s="491" t="s">
        <v>2069</v>
      </c>
      <c r="H9" s="505">
        <f>'Cover Page'!M38</f>
        <v>0</v>
      </c>
      <c r="I9" s="491" t="s">
        <v>2069</v>
      </c>
      <c r="J9" s="26"/>
      <c r="K9" s="516" t="s">
        <v>288</v>
      </c>
      <c r="L9" s="529"/>
      <c r="M9" s="530"/>
      <c r="N9" s="23">
        <f>M9/M19</f>
        <v>0</v>
      </c>
      <c r="O9" s="667">
        <v>0</v>
      </c>
      <c r="P9" s="322"/>
      <c r="Q9" s="25" t="s">
        <v>13</v>
      </c>
      <c r="R9" s="600"/>
      <c r="S9" s="615"/>
      <c r="T9" s="325"/>
    </row>
    <row r="10" spans="1:20" s="20" customFormat="1">
      <c r="A10" s="491" t="str">
        <f ca="1">MID(CELL("filename",A10),FIND("]",CELL("filename",A10))+1,256)</f>
        <v>UFB-1 Tax Impact</v>
      </c>
      <c r="B10" s="491">
        <f>ROW()</f>
        <v>10</v>
      </c>
      <c r="C10" s="491" t="str">
        <f>'Cover Page'!K6</f>
        <v>0421</v>
      </c>
      <c r="D10" s="491">
        <f>'Cover Page'!K4</f>
        <v>2020</v>
      </c>
      <c r="E10" s="491" t="s">
        <v>2031</v>
      </c>
      <c r="F10" s="493" t="s">
        <v>2065</v>
      </c>
      <c r="G10" s="491" t="s">
        <v>2070</v>
      </c>
      <c r="H10" s="505">
        <f>'Cover Page'!M38</f>
        <v>0</v>
      </c>
      <c r="I10" s="491" t="s">
        <v>2070</v>
      </c>
      <c r="J10" s="26"/>
      <c r="K10" s="486" t="s">
        <v>15</v>
      </c>
      <c r="L10" s="531"/>
      <c r="M10" s="532"/>
      <c r="N10" s="23">
        <f>M10/M19</f>
        <v>0</v>
      </c>
      <c r="O10" s="667">
        <v>0</v>
      </c>
      <c r="P10" s="322"/>
      <c r="Q10" s="25" t="s">
        <v>15</v>
      </c>
      <c r="R10" s="600"/>
      <c r="S10" s="615"/>
      <c r="T10" s="325"/>
    </row>
    <row r="11" spans="1:20" s="20" customFormat="1">
      <c r="A11" s="491" t="str">
        <f ca="1">MID(CELL("filename",A11),FIND("]",CELL("filename",A11))+1,256)</f>
        <v>UFB-1 Tax Impact</v>
      </c>
      <c r="B11" s="491">
        <f>ROW()</f>
        <v>11</v>
      </c>
      <c r="C11" s="491" t="str">
        <f>'Cover Page'!K6</f>
        <v>0421</v>
      </c>
      <c r="D11" s="491">
        <f>'Cover Page'!K4</f>
        <v>2020</v>
      </c>
      <c r="E11" s="491" t="s">
        <v>2031</v>
      </c>
      <c r="F11" s="493" t="s">
        <v>2065</v>
      </c>
      <c r="G11" s="491" t="s">
        <v>2071</v>
      </c>
      <c r="H11" s="505">
        <f>'Cover Page'!M38</f>
        <v>0</v>
      </c>
      <c r="I11" s="491" t="s">
        <v>2071</v>
      </c>
      <c r="J11" s="26"/>
      <c r="K11" s="486" t="s">
        <v>16</v>
      </c>
      <c r="L11" s="531">
        <v>2.3370000000000002</v>
      </c>
      <c r="M11" s="532">
        <v>4936398</v>
      </c>
      <c r="N11" s="23">
        <f>M11/M19</f>
        <v>0.56085316321516721</v>
      </c>
      <c r="O11" s="667">
        <v>0</v>
      </c>
      <c r="P11" s="322"/>
      <c r="Q11" s="25" t="s">
        <v>16</v>
      </c>
      <c r="R11" s="600" t="s">
        <v>14</v>
      </c>
      <c r="S11" s="615">
        <v>5100000</v>
      </c>
      <c r="T11" s="325"/>
    </row>
    <row r="12" spans="1:20" s="20" customFormat="1">
      <c r="A12" s="491" t="str">
        <f ca="1">MID(CELL("filename",A12),FIND("]",CELL("filename",A12))+1,256)</f>
        <v>UFB-1 Tax Impact</v>
      </c>
      <c r="B12" s="491">
        <f>ROW()</f>
        <v>12</v>
      </c>
      <c r="C12" s="491" t="str">
        <f>'Cover Page'!K6</f>
        <v>0421</v>
      </c>
      <c r="D12" s="491">
        <f>'Cover Page'!K4</f>
        <v>2020</v>
      </c>
      <c r="E12" s="491" t="s">
        <v>2031</v>
      </c>
      <c r="F12" s="493" t="s">
        <v>2065</v>
      </c>
      <c r="G12" s="491" t="s">
        <v>2072</v>
      </c>
      <c r="H12" s="505">
        <f>'Cover Page'!M38</f>
        <v>0</v>
      </c>
      <c r="I12" s="491" t="s">
        <v>2072</v>
      </c>
      <c r="J12" s="26"/>
      <c r="K12" s="516" t="s">
        <v>17</v>
      </c>
      <c r="L12" s="529"/>
      <c r="M12" s="530"/>
      <c r="N12" s="23">
        <f>M12/M19</f>
        <v>0</v>
      </c>
      <c r="O12" s="667">
        <v>0</v>
      </c>
      <c r="P12" s="322"/>
      <c r="Q12" s="25" t="s">
        <v>17</v>
      </c>
      <c r="R12" s="600"/>
      <c r="S12" s="615"/>
      <c r="T12" s="325"/>
    </row>
    <row r="13" spans="1:20" s="20" customFormat="1">
      <c r="A13" s="491" t="str">
        <f ca="1">MID(CELL("filename",A13),FIND("]",CELL("filename",A13))+1,256)</f>
        <v>UFB-1 Tax Impact</v>
      </c>
      <c r="B13" s="491">
        <f>ROW()</f>
        <v>13</v>
      </c>
      <c r="C13" s="491" t="str">
        <f>'Cover Page'!K6</f>
        <v>0421</v>
      </c>
      <c r="D13" s="491">
        <f>'Cover Page'!K4</f>
        <v>2020</v>
      </c>
      <c r="E13" s="491" t="s">
        <v>2031</v>
      </c>
      <c r="F13" s="493" t="s">
        <v>2065</v>
      </c>
      <c r="G13" s="491" t="s">
        <v>2073</v>
      </c>
      <c r="H13" s="505">
        <f>'Cover Page'!M38</f>
        <v>0</v>
      </c>
      <c r="I13" s="491" t="s">
        <v>2073</v>
      </c>
      <c r="J13" s="26"/>
      <c r="K13" s="516" t="s">
        <v>18</v>
      </c>
      <c r="L13" s="529">
        <v>0.81100000000000005</v>
      </c>
      <c r="M13" s="530">
        <v>1712626.32</v>
      </c>
      <c r="N13" s="23">
        <f>M13/M19</f>
        <v>0.19458153272437742</v>
      </c>
      <c r="O13" s="667">
        <v>0</v>
      </c>
      <c r="P13" s="322"/>
      <c r="Q13" s="25" t="s">
        <v>18</v>
      </c>
      <c r="R13" s="600" t="s">
        <v>14</v>
      </c>
      <c r="S13" s="615">
        <v>1830000</v>
      </c>
    </row>
    <row r="14" spans="1:20" s="20" customFormat="1">
      <c r="A14" s="491" t="str">
        <f t="shared" ca="1" si="0"/>
        <v>UFB-1 Tax Impact</v>
      </c>
      <c r="B14" s="491">
        <f>ROW()</f>
        <v>14</v>
      </c>
      <c r="C14" s="491" t="str">
        <f>'Cover Page'!K6</f>
        <v>0421</v>
      </c>
      <c r="D14" s="491">
        <f>'Cover Page'!K4</f>
        <v>2020</v>
      </c>
      <c r="E14" s="491" t="s">
        <v>2031</v>
      </c>
      <c r="F14" s="493" t="s">
        <v>2065</v>
      </c>
      <c r="G14" s="491" t="s">
        <v>2074</v>
      </c>
      <c r="H14" s="505">
        <f>'Cover Page'!M38</f>
        <v>0</v>
      </c>
      <c r="I14" s="491" t="s">
        <v>2074</v>
      </c>
      <c r="J14" s="26"/>
      <c r="K14" s="516" t="s">
        <v>19</v>
      </c>
      <c r="L14" s="529">
        <v>5.1999999999999998E-2</v>
      </c>
      <c r="M14" s="530">
        <v>109541.28</v>
      </c>
      <c r="N14" s="23">
        <f>M14/M19</f>
        <v>1.2445628045112718E-2</v>
      </c>
      <c r="O14" s="667">
        <v>0</v>
      </c>
      <c r="P14" s="322"/>
      <c r="Q14" s="25" t="s">
        <v>19</v>
      </c>
      <c r="R14" s="600" t="s">
        <v>14</v>
      </c>
      <c r="S14" s="615">
        <v>120000</v>
      </c>
    </row>
    <row r="15" spans="1:20" s="20" customFormat="1">
      <c r="A15" s="491" t="str">
        <f t="shared" ca="1" si="0"/>
        <v>UFB-1 Tax Impact</v>
      </c>
      <c r="B15" s="491">
        <f>ROW()</f>
        <v>15</v>
      </c>
      <c r="C15" s="491" t="str">
        <f>'Cover Page'!K6</f>
        <v>0421</v>
      </c>
      <c r="D15" s="491">
        <f>'Cover Page'!K4</f>
        <v>2020</v>
      </c>
      <c r="E15" s="491" t="s">
        <v>2031</v>
      </c>
      <c r="F15" s="493" t="s">
        <v>2065</v>
      </c>
      <c r="G15" s="491" t="s">
        <v>2075</v>
      </c>
      <c r="H15" s="505">
        <f>'Cover Page'!M38</f>
        <v>0</v>
      </c>
      <c r="I15" s="491" t="s">
        <v>2075</v>
      </c>
      <c r="J15" s="26"/>
      <c r="K15" s="516" t="s">
        <v>20</v>
      </c>
      <c r="L15" s="529"/>
      <c r="M15" s="530"/>
      <c r="N15" s="23">
        <f>M15/M19</f>
        <v>0</v>
      </c>
      <c r="O15" s="667">
        <v>0</v>
      </c>
      <c r="P15" s="322"/>
      <c r="Q15" s="25" t="s">
        <v>20</v>
      </c>
      <c r="R15" s="600"/>
      <c r="S15" s="615"/>
    </row>
    <row r="16" spans="1:20" s="20" customFormat="1">
      <c r="A16" s="491" t="str">
        <f t="shared" ca="1" si="0"/>
        <v>UFB-1 Tax Impact</v>
      </c>
      <c r="B16" s="491">
        <f>ROW()</f>
        <v>16</v>
      </c>
      <c r="C16" s="491" t="str">
        <f>'Cover Page'!K6</f>
        <v>0421</v>
      </c>
      <c r="D16" s="491">
        <f>'Cover Page'!K4</f>
        <v>2020</v>
      </c>
      <c r="E16" s="491" t="s">
        <v>2031</v>
      </c>
      <c r="F16" s="493" t="s">
        <v>2065</v>
      </c>
      <c r="G16" s="491" t="s">
        <v>2076</v>
      </c>
      <c r="H16" s="505">
        <f>'Cover Page'!M38</f>
        <v>0</v>
      </c>
      <c r="I16" s="491" t="s">
        <v>2076</v>
      </c>
      <c r="J16" s="13"/>
      <c r="K16" s="516" t="s">
        <v>21</v>
      </c>
      <c r="L16" s="529">
        <v>0.02</v>
      </c>
      <c r="M16" s="530">
        <v>43021.56</v>
      </c>
      <c r="N16" s="23">
        <f>M16/M19</f>
        <v>4.8879320533820629E-3</v>
      </c>
      <c r="O16" s="667">
        <v>0</v>
      </c>
      <c r="P16" s="322"/>
      <c r="Q16" s="25" t="s">
        <v>21</v>
      </c>
      <c r="R16" s="600" t="s">
        <v>14</v>
      </c>
      <c r="S16" s="615">
        <v>50000</v>
      </c>
    </row>
    <row r="17" spans="1:23" s="20" customFormat="1">
      <c r="A17" s="491" t="str">
        <f t="shared" ca="1" si="0"/>
        <v>UFB-1 Tax Impact</v>
      </c>
      <c r="B17" s="491">
        <f>ROW()</f>
        <v>17</v>
      </c>
      <c r="C17" s="491" t="str">
        <f>'Cover Page'!K6</f>
        <v>0421</v>
      </c>
      <c r="D17" s="491">
        <f>'Cover Page'!K4</f>
        <v>2020</v>
      </c>
      <c r="E17" s="491" t="s">
        <v>2031</v>
      </c>
      <c r="F17" s="493" t="s">
        <v>2065</v>
      </c>
      <c r="G17" s="491" t="s">
        <v>2077</v>
      </c>
      <c r="H17" s="505">
        <f>'Cover Page'!M38</f>
        <v>0</v>
      </c>
      <c r="I17" s="491" t="s">
        <v>2077</v>
      </c>
      <c r="J17" s="27"/>
      <c r="K17" s="516" t="s">
        <v>22</v>
      </c>
      <c r="L17" s="529"/>
      <c r="M17" s="530"/>
      <c r="N17" s="23">
        <f>M17/M19</f>
        <v>0</v>
      </c>
      <c r="O17" s="667">
        <v>0</v>
      </c>
      <c r="P17" s="322"/>
      <c r="Q17" s="25" t="s">
        <v>22</v>
      </c>
      <c r="R17" s="600"/>
      <c r="S17" s="615"/>
      <c r="T17" s="28"/>
    </row>
    <row r="18" spans="1:23" s="20" customFormat="1">
      <c r="A18" s="491" t="str">
        <f t="shared" ca="1" si="0"/>
        <v>UFB-1 Tax Impact</v>
      </c>
      <c r="B18" s="491">
        <f>ROW()</f>
        <v>18</v>
      </c>
      <c r="C18" s="491" t="str">
        <f>'Cover Page'!K6</f>
        <v>0421</v>
      </c>
      <c r="D18" s="491">
        <f>'Cover Page'!K4</f>
        <v>2020</v>
      </c>
      <c r="E18" s="491" t="s">
        <v>2031</v>
      </c>
      <c r="F18" s="493" t="s">
        <v>2065</v>
      </c>
      <c r="G18" s="491" t="s">
        <v>121</v>
      </c>
      <c r="H18" s="505">
        <f>'Cover Page'!M38</f>
        <v>0</v>
      </c>
      <c r="I18" s="491" t="s">
        <v>121</v>
      </c>
      <c r="J18" s="13"/>
      <c r="K18" s="14"/>
      <c r="L18" s="14"/>
      <c r="M18" s="14"/>
      <c r="N18" s="28"/>
      <c r="O18" s="116"/>
      <c r="P18" s="322"/>
      <c r="Q18" s="14"/>
      <c r="R18" s="14"/>
      <c r="S18" s="331"/>
      <c r="T18" s="28"/>
    </row>
    <row r="19" spans="1:23" s="20" customFormat="1" ht="13.5" thickBot="1">
      <c r="A19" s="491" t="str">
        <f t="shared" ca="1" si="0"/>
        <v>UFB-1 Tax Impact</v>
      </c>
      <c r="B19" s="491">
        <f>ROW()</f>
        <v>19</v>
      </c>
      <c r="C19" s="491" t="str">
        <f>'Cover Page'!K6</f>
        <v>0421</v>
      </c>
      <c r="D19" s="491">
        <f>'Cover Page'!K4</f>
        <v>2020</v>
      </c>
      <c r="E19" s="491" t="s">
        <v>2031</v>
      </c>
      <c r="F19" s="493" t="s">
        <v>2065</v>
      </c>
      <c r="G19" s="491" t="s">
        <v>2078</v>
      </c>
      <c r="H19" s="505">
        <f>'Cover Page'!M38</f>
        <v>0</v>
      </c>
      <c r="I19" s="491" t="s">
        <v>2078</v>
      </c>
      <c r="J19" s="27"/>
      <c r="K19" s="29" t="str">
        <f>"Total (Calendar Year "&amp;'Cover Page'!K4-1&amp;" Budget)"</f>
        <v>Total (Calendar Year 2019 Budget)</v>
      </c>
      <c r="L19" s="473">
        <f>SUM(L6:L17)</f>
        <v>4.1669999999999998</v>
      </c>
      <c r="M19" s="251">
        <f>SUM(M6:M17)</f>
        <v>8801587.1600000001</v>
      </c>
      <c r="N19" s="30">
        <f>SUM(N6:N17)</f>
        <v>1</v>
      </c>
      <c r="O19" s="332">
        <f>SUM(O6:O17)</f>
        <v>0</v>
      </c>
      <c r="P19" s="322"/>
      <c r="Q19" s="29" t="s">
        <v>23</v>
      </c>
      <c r="R19" s="29"/>
      <c r="S19" s="332">
        <f>SUM(S6:S17)</f>
        <v>9100000</v>
      </c>
      <c r="T19" s="28"/>
    </row>
    <row r="20" spans="1:23" s="20" customFormat="1" ht="15.75" thickTop="1">
      <c r="A20" s="491" t="str">
        <f t="shared" ca="1" si="0"/>
        <v>UFB-1 Tax Impact</v>
      </c>
      <c r="B20" s="491">
        <f>ROW()</f>
        <v>20</v>
      </c>
      <c r="C20" s="491" t="str">
        <f>'Cover Page'!K6</f>
        <v>0421</v>
      </c>
      <c r="D20" s="491">
        <f>'Cover Page'!K4</f>
        <v>2020</v>
      </c>
      <c r="E20" s="491" t="s">
        <v>2031</v>
      </c>
      <c r="F20" s="493" t="s">
        <v>2065</v>
      </c>
      <c r="G20" s="491" t="s">
        <v>121</v>
      </c>
      <c r="H20" s="505">
        <f>'Cover Page'!M38</f>
        <v>0</v>
      </c>
      <c r="I20" s="444"/>
      <c r="J20" s="13"/>
      <c r="O20" s="12"/>
      <c r="P20" s="322"/>
      <c r="Q20" s="14"/>
      <c r="R20" s="14"/>
      <c r="S20" s="116"/>
      <c r="T20" s="325"/>
    </row>
    <row r="21" spans="1:23" s="20" customFormat="1" ht="13.5" thickBot="1">
      <c r="A21" s="491" t="str">
        <f t="shared" ca="1" si="0"/>
        <v>UFB-1 Tax Impact</v>
      </c>
      <c r="B21" s="491">
        <f>ROW()</f>
        <v>21</v>
      </c>
      <c r="C21" s="491" t="str">
        <f>'Cover Page'!K6</f>
        <v>0421</v>
      </c>
      <c r="D21" s="491">
        <f>'Cover Page'!K4</f>
        <v>2020</v>
      </c>
      <c r="E21" s="491" t="s">
        <v>2031</v>
      </c>
      <c r="F21" s="493" t="s">
        <v>2065</v>
      </c>
      <c r="G21" s="491" t="s">
        <v>2079</v>
      </c>
      <c r="H21" s="505">
        <f>'Cover Page'!M38</f>
        <v>0</v>
      </c>
      <c r="I21" s="547" t="s">
        <v>2225</v>
      </c>
      <c r="J21" s="26"/>
      <c r="K21" s="431" t="s">
        <v>292</v>
      </c>
      <c r="L21" s="561" t="str">
        <f>"October 1, "&amp;'Cover Page'!K4-1&amp;" "</f>
        <v xml:space="preserve">October 1, 2019 </v>
      </c>
      <c r="M21" s="252">
        <v>210323171</v>
      </c>
      <c r="N21" s="11"/>
      <c r="O21" s="519"/>
      <c r="P21" s="322"/>
      <c r="Q21" s="20" t="s">
        <v>24</v>
      </c>
      <c r="S21" s="407">
        <v>3017000</v>
      </c>
    </row>
    <row r="22" spans="1:23" s="20" customFormat="1" ht="13.5" thickTop="1">
      <c r="A22" s="491" t="str">
        <f t="shared" ca="1" si="0"/>
        <v>UFB-1 Tax Impact</v>
      </c>
      <c r="B22" s="491">
        <f>ROW()</f>
        <v>22</v>
      </c>
      <c r="C22" s="491" t="str">
        <f>'Cover Page'!K6</f>
        <v>0421</v>
      </c>
      <c r="D22" s="491">
        <f>'Cover Page'!K4</f>
        <v>2020</v>
      </c>
      <c r="E22" s="491" t="s">
        <v>2031</v>
      </c>
      <c r="F22" s="493" t="s">
        <v>2065</v>
      </c>
      <c r="H22" s="505">
        <f>'Cover Page'!M38</f>
        <v>0</v>
      </c>
      <c r="I22" s="491" t="s">
        <v>2094</v>
      </c>
      <c r="J22" s="26"/>
      <c r="K22" s="611" t="s">
        <v>2281</v>
      </c>
      <c r="N22" s="11"/>
      <c r="O22" s="519"/>
      <c r="P22" s="322"/>
      <c r="Q22" s="20" t="s">
        <v>25</v>
      </c>
      <c r="S22" s="408">
        <v>4380787.2</v>
      </c>
    </row>
    <row r="23" spans="1:23" s="20" customFormat="1" ht="13.5" thickBot="1">
      <c r="A23" s="491" t="str">
        <f t="shared" ca="1" si="0"/>
        <v>UFB-1 Tax Impact</v>
      </c>
      <c r="B23" s="491">
        <f>ROW()</f>
        <v>23</v>
      </c>
      <c r="C23" s="491" t="str">
        <f>'Cover Page'!K6</f>
        <v>0421</v>
      </c>
      <c r="D23" s="491">
        <f>'Cover Page'!K4</f>
        <v>2020</v>
      </c>
      <c r="E23" s="491" t="s">
        <v>2031</v>
      </c>
      <c r="F23" s="493" t="s">
        <v>2065</v>
      </c>
      <c r="G23" s="491" t="s">
        <v>2080</v>
      </c>
      <c r="H23" s="505">
        <f>'Cover Page'!M38</f>
        <v>0</v>
      </c>
      <c r="I23" s="547" t="s">
        <v>2224</v>
      </c>
      <c r="J23" s="13"/>
      <c r="K23" s="20" t="s">
        <v>2277</v>
      </c>
      <c r="M23" s="252">
        <v>135725</v>
      </c>
      <c r="O23" s="12"/>
      <c r="P23" s="323"/>
      <c r="Q23" s="32" t="s">
        <v>26</v>
      </c>
      <c r="R23" s="32"/>
      <c r="S23" s="333">
        <f>SUM(S8:S17)</f>
        <v>7100000</v>
      </c>
      <c r="T23" s="325"/>
    </row>
    <row r="24" spans="1:23" s="20" customFormat="1" ht="13.5" thickTop="1">
      <c r="A24" s="491" t="str">
        <f t="shared" ca="1" si="0"/>
        <v>UFB-1 Tax Impact</v>
      </c>
      <c r="B24" s="491">
        <f>ROW()</f>
        <v>24</v>
      </c>
      <c r="C24" s="491" t="str">
        <f>'Cover Page'!K6</f>
        <v>0421</v>
      </c>
      <c r="D24" s="491">
        <f>'Cover Page'!K4</f>
        <v>2020</v>
      </c>
      <c r="E24" s="491" t="s">
        <v>2031</v>
      </c>
      <c r="F24" s="493" t="s">
        <v>2065</v>
      </c>
      <c r="G24" s="491"/>
      <c r="H24" s="505">
        <f>'Cover Page'!M38</f>
        <v>0</v>
      </c>
      <c r="I24" s="491" t="s">
        <v>2095</v>
      </c>
      <c r="J24" s="13"/>
      <c r="N24" s="33"/>
      <c r="O24" s="533"/>
      <c r="P24" s="323"/>
      <c r="Q24" s="34" t="s">
        <v>27</v>
      </c>
      <c r="R24" s="34"/>
      <c r="S24" s="334">
        <f>+S23+S22-S21</f>
        <v>8463787.1999999993</v>
      </c>
    </row>
    <row r="25" spans="1:23" s="20" customFormat="1">
      <c r="A25" s="491" t="str">
        <f t="shared" ca="1" si="0"/>
        <v>UFB-1 Tax Impact</v>
      </c>
      <c r="B25" s="491">
        <f>ROW()</f>
        <v>25</v>
      </c>
      <c r="C25" s="491" t="str">
        <f>'Cover Page'!K6</f>
        <v>0421</v>
      </c>
      <c r="D25" s="491">
        <f>'Cover Page'!K4</f>
        <v>2020</v>
      </c>
      <c r="E25" s="491" t="s">
        <v>2031</v>
      </c>
      <c r="F25" s="493" t="s">
        <v>2065</v>
      </c>
      <c r="G25" s="491"/>
      <c r="H25" s="505">
        <f>'Cover Page'!M38</f>
        <v>0</v>
      </c>
      <c r="I25" s="491" t="s">
        <v>2096</v>
      </c>
      <c r="J25" s="26"/>
      <c r="L25" s="20" t="s">
        <v>265</v>
      </c>
      <c r="O25" s="12"/>
      <c r="P25" s="323"/>
      <c r="Q25" s="32" t="s">
        <v>28</v>
      </c>
      <c r="R25" s="32"/>
      <c r="S25" s="333">
        <f>(+S24/S28)-S24</f>
        <v>637059.25161290355</v>
      </c>
    </row>
    <row r="26" spans="1:23" s="20" customFormat="1" ht="13.5" thickBot="1">
      <c r="A26" s="491" t="str">
        <f t="shared" ca="1" si="0"/>
        <v>UFB-1 Tax Impact</v>
      </c>
      <c r="B26" s="491">
        <f>ROW()</f>
        <v>26</v>
      </c>
      <c r="C26" s="491" t="str">
        <f>'Cover Page'!K6</f>
        <v>0421</v>
      </c>
      <c r="D26" s="491">
        <f>'Cover Page'!K4</f>
        <v>2020</v>
      </c>
      <c r="E26" s="491" t="s">
        <v>2031</v>
      </c>
      <c r="F26" s="493" t="s">
        <v>2065</v>
      </c>
      <c r="G26" s="491"/>
      <c r="H26" s="505">
        <f>'Cover Page'!M38</f>
        <v>0</v>
      </c>
      <c r="I26" s="491" t="s">
        <v>2097</v>
      </c>
      <c r="J26" s="26"/>
      <c r="O26" s="12"/>
      <c r="P26" s="323"/>
      <c r="Q26" s="35" t="s">
        <v>32</v>
      </c>
      <c r="R26" s="35"/>
      <c r="S26" s="335">
        <f>+S25+S24</f>
        <v>9100846.4516129028</v>
      </c>
    </row>
    <row r="27" spans="1:23" s="20" customFormat="1" ht="15.75" customHeight="1" thickTop="1">
      <c r="A27" s="491" t="str">
        <f t="shared" ca="1" si="0"/>
        <v>UFB-1 Tax Impact</v>
      </c>
      <c r="B27" s="491">
        <f>ROW()</f>
        <v>27</v>
      </c>
      <c r="C27" s="491" t="str">
        <f>'Cover Page'!K6</f>
        <v>0421</v>
      </c>
      <c r="D27" s="491">
        <f>'Cover Page'!K4</f>
        <v>2020</v>
      </c>
      <c r="E27" s="491" t="s">
        <v>2031</v>
      </c>
      <c r="F27" s="493" t="s">
        <v>2065</v>
      </c>
      <c r="G27" s="491" t="s">
        <v>121</v>
      </c>
      <c r="H27" s="505">
        <f>'Cover Page'!M38</f>
        <v>0</v>
      </c>
      <c r="I27" s="545" t="s">
        <v>274</v>
      </c>
      <c r="J27" s="546"/>
      <c r="K27" s="545"/>
      <c r="L27" s="301"/>
      <c r="M27" s="301" t="s">
        <v>267</v>
      </c>
      <c r="N27" s="301"/>
      <c r="O27" s="302"/>
      <c r="P27" s="323"/>
      <c r="S27" s="116"/>
    </row>
    <row r="28" spans="1:23" s="20" customFormat="1" ht="13.15" customHeight="1" thickBot="1">
      <c r="A28" s="491" t="str">
        <f t="shared" ca="1" si="0"/>
        <v>UFB-1 Tax Impact</v>
      </c>
      <c r="B28" s="491">
        <f>ROW()</f>
        <v>28</v>
      </c>
      <c r="C28" s="491" t="str">
        <f>'Cover Page'!K6</f>
        <v>0421</v>
      </c>
      <c r="D28" s="491">
        <f>'Cover Page'!K4</f>
        <v>2020</v>
      </c>
      <c r="E28" s="491" t="s">
        <v>2031</v>
      </c>
      <c r="F28" s="493" t="s">
        <v>2065</v>
      </c>
      <c r="H28" s="505">
        <f>'Cover Page'!M38</f>
        <v>0</v>
      </c>
      <c r="I28" s="491" t="s">
        <v>2098</v>
      </c>
      <c r="J28" s="26"/>
      <c r="L28" s="534" t="s">
        <v>29</v>
      </c>
      <c r="M28" s="534" t="s">
        <v>30</v>
      </c>
      <c r="N28" s="534" t="s">
        <v>31</v>
      </c>
      <c r="O28" s="302"/>
      <c r="P28" s="323"/>
      <c r="Q28" s="20" t="s">
        <v>33</v>
      </c>
      <c r="S28" s="336">
        <v>0.93</v>
      </c>
    </row>
    <row r="29" spans="1:23" s="20" customFormat="1" ht="13.15" customHeight="1" thickTop="1">
      <c r="A29" s="491" t="str">
        <f t="shared" ca="1" si="0"/>
        <v>UFB-1 Tax Impact</v>
      </c>
      <c r="B29" s="491">
        <f>ROW()</f>
        <v>29</v>
      </c>
      <c r="C29" s="491" t="str">
        <f>'Cover Page'!K6</f>
        <v>0421</v>
      </c>
      <c r="D29" s="491">
        <f>'Cover Page'!K4</f>
        <v>2020</v>
      </c>
      <c r="E29" s="491" t="s">
        <v>2031</v>
      </c>
      <c r="F29" s="493" t="s">
        <v>2065</v>
      </c>
      <c r="G29" s="491" t="s">
        <v>2081</v>
      </c>
      <c r="H29" s="505">
        <f>'Cover Page'!M38</f>
        <v>0</v>
      </c>
      <c r="I29" s="444"/>
      <c r="J29" s="26"/>
      <c r="L29" s="535">
        <f>L6</f>
        <v>0.94699999999999995</v>
      </c>
      <c r="M29" s="536"/>
      <c r="N29" s="537">
        <f>(M29-L29)/L29</f>
        <v>-1</v>
      </c>
      <c r="O29" s="12"/>
      <c r="P29" s="323"/>
      <c r="S29" s="12"/>
    </row>
    <row r="30" spans="1:23" s="20" customFormat="1">
      <c r="A30" s="491" t="str">
        <f t="shared" ca="1" si="0"/>
        <v>UFB-1 Tax Impact</v>
      </c>
      <c r="B30" s="491">
        <f>ROW()</f>
        <v>30</v>
      </c>
      <c r="C30" s="491" t="str">
        <f>'Cover Page'!K6</f>
        <v>0421</v>
      </c>
      <c r="D30" s="491">
        <f>'Cover Page'!K4</f>
        <v>2020</v>
      </c>
      <c r="E30" s="491" t="s">
        <v>2031</v>
      </c>
      <c r="F30" s="493" t="s">
        <v>2065</v>
      </c>
      <c r="H30" s="505">
        <f>'Cover Page'!M38</f>
        <v>0</v>
      </c>
      <c r="I30" s="491" t="s">
        <v>2089</v>
      </c>
      <c r="J30" s="13"/>
      <c r="O30" s="116"/>
      <c r="P30" s="323"/>
      <c r="Q30" s="20" t="s">
        <v>34</v>
      </c>
      <c r="S30" s="12"/>
      <c r="V30" s="218" t="s">
        <v>275</v>
      </c>
    </row>
    <row r="31" spans="1:23" s="20" customFormat="1" ht="16.149999999999999" customHeight="1" thickBot="1">
      <c r="A31" s="491" t="str">
        <f t="shared" ca="1" si="0"/>
        <v>UFB-1 Tax Impact</v>
      </c>
      <c r="B31" s="491">
        <f>ROW()</f>
        <v>31</v>
      </c>
      <c r="C31" s="491" t="str">
        <f>'Cover Page'!K6</f>
        <v>0421</v>
      </c>
      <c r="D31" s="491">
        <f>'Cover Page'!K4</f>
        <v>2020</v>
      </c>
      <c r="E31" s="491" t="s">
        <v>2031</v>
      </c>
      <c r="F31" s="493" t="s">
        <v>2065</v>
      </c>
      <c r="H31" s="505">
        <f>'Cover Page'!M38</f>
        <v>0</v>
      </c>
      <c r="I31" s="491" t="s">
        <v>2088</v>
      </c>
      <c r="J31" s="319" t="s">
        <v>263</v>
      </c>
      <c r="K31" s="301"/>
      <c r="L31" s="301"/>
      <c r="M31" s="301" t="s">
        <v>264</v>
      </c>
      <c r="N31" s="301"/>
      <c r="O31" s="302"/>
      <c r="P31" s="323"/>
      <c r="Q31" s="20" t="s">
        <v>35</v>
      </c>
      <c r="R31" s="683"/>
      <c r="S31" s="684"/>
      <c r="V31" s="218" t="s">
        <v>276</v>
      </c>
      <c r="W31" s="20" t="s">
        <v>10</v>
      </c>
    </row>
    <row r="32" spans="1:23" s="20" customFormat="1" ht="15.75" thickTop="1">
      <c r="A32" s="491" t="str">
        <f t="shared" ca="1" si="0"/>
        <v>UFB-1 Tax Impact</v>
      </c>
      <c r="B32" s="491">
        <f>ROW()</f>
        <v>32</v>
      </c>
      <c r="C32" s="491" t="str">
        <f>'Cover Page'!K6</f>
        <v>0421</v>
      </c>
      <c r="D32" s="491">
        <f>'Cover Page'!K4</f>
        <v>2020</v>
      </c>
      <c r="E32" s="491" t="s">
        <v>2031</v>
      </c>
      <c r="F32" s="493" t="s">
        <v>2065</v>
      </c>
      <c r="G32" s="491" t="s">
        <v>121</v>
      </c>
      <c r="H32" s="505">
        <f>'Cover Page'!M38</f>
        <v>0</v>
      </c>
      <c r="I32" s="444"/>
      <c r="J32" s="26"/>
      <c r="L32" s="538" t="s">
        <v>29</v>
      </c>
      <c r="M32" s="538" t="s">
        <v>30</v>
      </c>
      <c r="N32" s="538" t="s">
        <v>31</v>
      </c>
      <c r="O32" s="538" t="s">
        <v>38</v>
      </c>
      <c r="P32" s="323"/>
      <c r="S32" s="327"/>
      <c r="W32" s="20" t="s">
        <v>14</v>
      </c>
    </row>
    <row r="33" spans="1:20" s="20" customFormat="1">
      <c r="A33" s="504" t="str">
        <f ca="1">MID(CELL("filename",A22),FIND("]",CELL("filename",A22))+1,256)</f>
        <v>UFB-1 Tax Impact</v>
      </c>
      <c r="B33" s="503">
        <f>ROW()</f>
        <v>33</v>
      </c>
      <c r="C33" s="491" t="str">
        <f>'Cover Page'!K6</f>
        <v>0421</v>
      </c>
      <c r="D33" s="491">
        <f>'Cover Page'!K4</f>
        <v>2020</v>
      </c>
      <c r="E33" s="491" t="s">
        <v>2031</v>
      </c>
      <c r="F33" s="493" t="s">
        <v>2065</v>
      </c>
      <c r="G33" s="491" t="s">
        <v>2082</v>
      </c>
      <c r="H33" s="505">
        <f>'Cover Page'!M38</f>
        <v>0</v>
      </c>
      <c r="I33" s="502" t="s">
        <v>121</v>
      </c>
      <c r="J33" s="13"/>
      <c r="L33" s="539">
        <f>M6</f>
        <v>2000000</v>
      </c>
      <c r="M33" s="539">
        <f>S6</f>
        <v>2000000</v>
      </c>
      <c r="N33" s="544">
        <f>(M33-L33)/L33</f>
        <v>0</v>
      </c>
      <c r="O33" s="540">
        <f>M33-L33</f>
        <v>0</v>
      </c>
      <c r="P33" s="323"/>
      <c r="Q33" s="16" t="s">
        <v>37</v>
      </c>
      <c r="S33" s="12"/>
    </row>
    <row r="34" spans="1:20" s="20" customFormat="1">
      <c r="A34" s="504" t="str">
        <f ca="1">MID(CELL("filename",A22),FIND("]",CELL("filename",A22))+1,256)</f>
        <v>UFB-1 Tax Impact</v>
      </c>
      <c r="B34" s="503">
        <f>ROW()</f>
        <v>34</v>
      </c>
      <c r="C34" s="491" t="str">
        <f>'Cover Page'!K6</f>
        <v>0421</v>
      </c>
      <c r="D34" s="491">
        <f>'Cover Page'!K4</f>
        <v>2020</v>
      </c>
      <c r="E34" s="491" t="s">
        <v>2031</v>
      </c>
      <c r="F34" s="493" t="s">
        <v>2065</v>
      </c>
      <c r="H34" s="505">
        <f>'Cover Page'!M38</f>
        <v>0</v>
      </c>
      <c r="I34" s="491" t="s">
        <v>2087</v>
      </c>
      <c r="J34" s="13"/>
      <c r="O34" s="541"/>
      <c r="P34" s="323"/>
      <c r="Q34" s="20" t="str">
        <f>"Total Tax Revenue, Collections CY "&amp;'Cover Page'!K4-1</f>
        <v>Total Tax Revenue, Collections CY 2019</v>
      </c>
      <c r="S34" s="328">
        <v>8268003.2199999997</v>
      </c>
    </row>
    <row r="35" spans="1:20" s="20" customFormat="1">
      <c r="A35" s="504" t="str">
        <f t="shared" ref="A35:A39" ca="1" si="1">MID(CELL("filename",A23),FIND("]",CELL("filename",A23))+1,256)</f>
        <v>UFB-1 Tax Impact</v>
      </c>
      <c r="B35" s="503">
        <f>ROW()</f>
        <v>35</v>
      </c>
      <c r="C35" s="491" t="str">
        <f>'Cover Page'!K6</f>
        <v>0421</v>
      </c>
      <c r="D35" s="491">
        <f>'Cover Page'!K4</f>
        <v>2020</v>
      </c>
      <c r="E35" s="491" t="s">
        <v>2031</v>
      </c>
      <c r="F35" s="493" t="s">
        <v>2065</v>
      </c>
      <c r="H35" s="505">
        <f>'Cover Page'!M38</f>
        <v>0</v>
      </c>
      <c r="I35" s="491" t="s">
        <v>2086</v>
      </c>
      <c r="J35" s="300" t="s">
        <v>36</v>
      </c>
      <c r="K35" s="301"/>
      <c r="L35" s="301"/>
      <c r="M35" s="301"/>
      <c r="N35" s="301"/>
      <c r="O35" s="302"/>
      <c r="P35" s="323"/>
      <c r="Q35" s="20" t="str">
        <f>"Total Tax Levy, CY "&amp;'Cover Page'!K4-1</f>
        <v>Total Tax Levy, CY 2019</v>
      </c>
      <c r="S35" s="555">
        <v>8833152.1999999993</v>
      </c>
    </row>
    <row r="36" spans="1:20" s="20" customFormat="1" ht="13.5" thickBot="1">
      <c r="A36" s="504" t="str">
        <f t="shared" ca="1" si="1"/>
        <v>UFB-1 Tax Impact</v>
      </c>
      <c r="B36" s="503">
        <f>ROW()</f>
        <v>36</v>
      </c>
      <c r="C36" s="491" t="str">
        <f>'Cover Page'!K6</f>
        <v>0421</v>
      </c>
      <c r="D36" s="491">
        <f>'Cover Page'!K4</f>
        <v>2020</v>
      </c>
      <c r="E36" s="491" t="s">
        <v>2031</v>
      </c>
      <c r="F36" s="493" t="s">
        <v>2065</v>
      </c>
      <c r="H36" s="505">
        <f>'Cover Page'!M38</f>
        <v>0</v>
      </c>
      <c r="I36" s="20" t="s">
        <v>2085</v>
      </c>
      <c r="J36" s="13"/>
      <c r="L36" s="538" t="s">
        <v>29</v>
      </c>
      <c r="M36" s="538" t="s">
        <v>30</v>
      </c>
      <c r="N36" s="538" t="s">
        <v>31</v>
      </c>
      <c r="O36" s="538" t="s">
        <v>38</v>
      </c>
      <c r="P36" s="323"/>
      <c r="Q36" s="20" t="str">
        <f>"% of Taxes Collected, CY "&amp;'Cover Page'!K4-1</f>
        <v>% of Taxes Collected, CY 2019</v>
      </c>
      <c r="S36" s="329">
        <f>IF(S35&gt;1,+S34/S35,0)</f>
        <v>0.93601955822746952</v>
      </c>
    </row>
    <row r="37" spans="1:20" s="20" customFormat="1" ht="15.75" thickTop="1">
      <c r="A37" s="504" t="str">
        <f t="shared" ca="1" si="1"/>
        <v>UFB-1 Tax Impact</v>
      </c>
      <c r="B37" s="503">
        <f>ROW()</f>
        <v>37</v>
      </c>
      <c r="C37" s="491" t="str">
        <f>'Cover Page'!K6</f>
        <v>0421</v>
      </c>
      <c r="D37" s="491">
        <f>'Cover Page'!K4</f>
        <v>2020</v>
      </c>
      <c r="E37" s="491" t="s">
        <v>2031</v>
      </c>
      <c r="F37" s="493" t="s">
        <v>2065</v>
      </c>
      <c r="G37" s="491" t="s">
        <v>2083</v>
      </c>
      <c r="H37" s="505">
        <f>'Cover Page'!M38</f>
        <v>0</v>
      </c>
      <c r="I37" s="432"/>
      <c r="J37" s="13"/>
      <c r="L37" s="542">
        <f>O6</f>
        <v>0</v>
      </c>
      <c r="M37" s="543">
        <f>(+M$23/100)*M29</f>
        <v>0</v>
      </c>
      <c r="N37" s="544" t="e">
        <f>(M37-L37)/L37</f>
        <v>#DIV/0!</v>
      </c>
      <c r="O37" s="540">
        <f>M37-L37</f>
        <v>0</v>
      </c>
      <c r="P37" s="323"/>
      <c r="S37" s="12"/>
    </row>
    <row r="38" spans="1:20" s="20" customFormat="1" ht="13.5" thickBot="1">
      <c r="A38" s="504" t="str">
        <f t="shared" ca="1" si="1"/>
        <v>UFB-1 Tax Impact</v>
      </c>
      <c r="B38" s="503">
        <f>ROW()</f>
        <v>38</v>
      </c>
      <c r="C38" s="491" t="str">
        <f>'Cover Page'!K6</f>
        <v>0421</v>
      </c>
      <c r="D38" s="491">
        <f>'Cover Page'!K4</f>
        <v>2020</v>
      </c>
      <c r="E38" s="491" t="s">
        <v>2031</v>
      </c>
      <c r="F38" s="493" t="s">
        <v>2065</v>
      </c>
      <c r="H38" s="505">
        <f>'Cover Page'!M38</f>
        <v>0</v>
      </c>
      <c r="I38" s="491" t="s">
        <v>2084</v>
      </c>
      <c r="J38" s="26"/>
      <c r="O38" s="12"/>
      <c r="P38" s="323"/>
      <c r="Q38" s="14" t="str">
        <f>"Delinquent Taxes - December 31, "&amp;'Cover Page'!K4-1</f>
        <v>Delinquent Taxes - December 31, 2019</v>
      </c>
      <c r="R38" s="8"/>
      <c r="S38" s="330">
        <v>470112.14</v>
      </c>
    </row>
    <row r="39" spans="1:20" ht="15.75" thickTop="1">
      <c r="A39" s="504" t="str">
        <f t="shared" ca="1" si="1"/>
        <v>UFB-1 Tax Impact</v>
      </c>
      <c r="B39" s="503">
        <f>ROW()</f>
        <v>39</v>
      </c>
      <c r="C39" s="491" t="str">
        <f>'Cover Page'!K6</f>
        <v>0421</v>
      </c>
      <c r="D39" s="491">
        <f>'Cover Page'!K4</f>
        <v>2020</v>
      </c>
      <c r="E39" s="491" t="s">
        <v>2031</v>
      </c>
      <c r="F39" s="493" t="s">
        <v>2065</v>
      </c>
      <c r="G39" s="491" t="s">
        <v>121</v>
      </c>
      <c r="H39" s="505">
        <f>'Cover Page'!M38</f>
        <v>0</v>
      </c>
      <c r="I39" s="432"/>
      <c r="J39" s="36"/>
      <c r="K39" s="37"/>
      <c r="L39" s="37"/>
      <c r="M39" s="37"/>
      <c r="N39" s="37"/>
      <c r="O39" s="476" t="s">
        <v>283</v>
      </c>
      <c r="P39" s="324"/>
      <c r="Q39" s="32"/>
      <c r="R39" s="32"/>
      <c r="S39" s="40"/>
      <c r="T39" s="20"/>
    </row>
    <row r="40" spans="1:20" s="20" customFormat="1" ht="12.75" customHeight="1">
      <c r="A40" s="491"/>
      <c r="B40" s="491"/>
      <c r="C40" s="491"/>
      <c r="D40" s="491"/>
      <c r="E40" s="491"/>
      <c r="F40" s="491"/>
      <c r="G40" s="491"/>
      <c r="H40" s="494"/>
      <c r="I40" s="432"/>
      <c r="J40" s="8"/>
      <c r="K40" s="8"/>
      <c r="L40" s="8"/>
      <c r="M40" s="8"/>
      <c r="N40" s="8"/>
      <c r="P40" s="8"/>
    </row>
    <row r="41" spans="1:20" ht="15">
      <c r="A41" s="491"/>
      <c r="B41" s="491"/>
      <c r="C41" s="491"/>
      <c r="D41" s="491"/>
      <c r="E41" s="491"/>
      <c r="F41" s="491"/>
      <c r="G41" s="491"/>
      <c r="H41" s="494"/>
      <c r="I41" s="432"/>
      <c r="J41" s="382"/>
      <c r="K41" s="382"/>
      <c r="L41" s="382"/>
      <c r="M41" s="382"/>
      <c r="N41" s="382"/>
      <c r="O41" s="382"/>
      <c r="P41" s="382"/>
      <c r="Q41" s="382"/>
      <c r="R41" s="382"/>
      <c r="S41" s="382"/>
      <c r="T41" s="382"/>
    </row>
    <row r="42" spans="1:20" ht="15">
      <c r="A42" s="491"/>
      <c r="B42" s="491"/>
      <c r="C42" s="491"/>
      <c r="D42" s="491"/>
      <c r="E42" s="491"/>
      <c r="F42" s="491"/>
      <c r="G42" s="491"/>
      <c r="H42" s="494"/>
      <c r="I42" s="432"/>
    </row>
    <row r="43" spans="1:20" ht="15">
      <c r="A43" s="491"/>
      <c r="B43" s="491"/>
      <c r="C43" s="491"/>
      <c r="D43" s="491"/>
      <c r="E43" s="491"/>
      <c r="F43" s="491"/>
      <c r="G43" s="491"/>
      <c r="H43" s="494"/>
      <c r="I43" s="432"/>
    </row>
    <row r="44" spans="1:20" ht="15">
      <c r="A44" s="491"/>
      <c r="B44" s="491"/>
      <c r="C44" s="491"/>
      <c r="D44" s="491"/>
      <c r="E44" s="491"/>
      <c r="F44" s="491"/>
      <c r="G44" s="491"/>
      <c r="H44" s="494"/>
      <c r="I44" s="432"/>
    </row>
  </sheetData>
  <sheetProtection algorithmName="SHA-512" hashValue="TZTLeB8albIG9WYGX6CrfWXuK++08siivCX/zSAhngBOJQUOjcDkK7iqQu7WrP+srk+qpYNA1PD5hdYvbOQC3g==" saltValue="56V50rScm4K+SLLEcZYdlA==" spinCount="100000" sheet="1" objects="1" scenarios="1"/>
  <mergeCells count="4">
    <mergeCell ref="R31:S31"/>
    <mergeCell ref="J1:T1"/>
    <mergeCell ref="Q3:R3"/>
    <mergeCell ref="J3:N3"/>
  </mergeCells>
  <dataValidations disablePrompts="1" count="2">
    <dataValidation type="list" allowBlank="1" showInputMessage="1" showErrorMessage="1" sqref="R31:S31">
      <formula1>$V$29:$V$31</formula1>
    </dataValidation>
    <dataValidation type="list" allowBlank="1" showInputMessage="1" showErrorMessage="1" sqref="R6:R17">
      <formula1>$W$30:$W$32</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37"/>
  <sheetViews>
    <sheetView topLeftCell="K1" workbookViewId="0">
      <selection activeCell="R18" sqref="R18"/>
    </sheetView>
  </sheetViews>
  <sheetFormatPr defaultColWidth="10.5703125" defaultRowHeight="15.75"/>
  <cols>
    <col min="1" max="9" width="10.5703125" style="46" hidden="1" customWidth="1"/>
    <col min="10" max="10" width="10" style="56" customWidth="1"/>
    <col min="11" max="11" width="46.85546875" style="46" customWidth="1"/>
    <col min="12" max="12" width="13.7109375" style="54" customWidth="1"/>
    <col min="13" max="13" width="18.7109375" style="54" customWidth="1"/>
    <col min="14" max="14" width="1.28515625" style="54" customWidth="1"/>
    <col min="15" max="15" width="19" style="54" customWidth="1"/>
    <col min="16" max="16" width="1.140625" style="54" customWidth="1"/>
    <col min="17" max="17" width="20.140625" style="54" customWidth="1"/>
    <col min="18" max="19" width="18.7109375" style="54" customWidth="1"/>
    <col min="20" max="20" width="18.42578125" style="54" customWidth="1"/>
    <col min="21" max="21" width="19.28515625" style="54" customWidth="1"/>
    <col min="22" max="25" width="18.28515625" style="46" customWidth="1"/>
    <col min="26" max="16384" width="10.5703125" style="46"/>
  </cols>
  <sheetData>
    <row r="1" spans="1:25" s="42" customFormat="1" ht="18.75">
      <c r="A1" s="491" t="str">
        <f ca="1">MID(CELL("filename",A2),FIND("]",CELL("filename",A2))+1,256)</f>
        <v>UFB-2 Revenue Summary</v>
      </c>
      <c r="B1" s="491">
        <f>ROW()</f>
        <v>1</v>
      </c>
      <c r="C1" s="491" t="str">
        <f>'Cover Page'!K6</f>
        <v>0421</v>
      </c>
      <c r="D1" s="491">
        <f>'Cover Page'!K4</f>
        <v>2020</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0421</v>
      </c>
      <c r="D2" s="491">
        <f>'Cover Page'!K4</f>
        <v>2020</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2" ca="1" si="0">MID(CELL("filename",A3),FIND("]",CELL("filename",A3))+1,256)</f>
        <v>UFB-2 Revenue Summary</v>
      </c>
      <c r="B3" s="491">
        <f>ROW()</f>
        <v>3</v>
      </c>
      <c r="C3" s="491" t="str">
        <f>'Cover Page'!K6</f>
        <v>0421</v>
      </c>
      <c r="D3" s="491">
        <f>'Cover Page'!K4</f>
        <v>2020</v>
      </c>
      <c r="E3" s="491" t="s">
        <v>2031</v>
      </c>
      <c r="F3" s="491" t="s">
        <v>2080</v>
      </c>
      <c r="G3" s="491" t="s">
        <v>121</v>
      </c>
      <c r="H3" s="505">
        <f>'Cover Page'!M38</f>
        <v>0</v>
      </c>
      <c r="J3" s="355"/>
      <c r="K3" s="340"/>
      <c r="L3" s="691" t="s">
        <v>39</v>
      </c>
      <c r="M3" s="691" t="s">
        <v>40</v>
      </c>
      <c r="N3" s="44"/>
      <c r="O3" s="691" t="s">
        <v>305</v>
      </c>
      <c r="P3" s="44"/>
      <c r="Q3" s="691" t="s">
        <v>41</v>
      </c>
      <c r="R3" s="45" t="s">
        <v>42</v>
      </c>
      <c r="S3" s="454" t="s">
        <v>300</v>
      </c>
      <c r="T3" s="633" t="s">
        <v>2336</v>
      </c>
      <c r="U3" s="633"/>
      <c r="V3" s="633"/>
      <c r="W3" s="633"/>
      <c r="X3" s="633"/>
      <c r="Y3" s="633"/>
    </row>
    <row r="4" spans="1:25">
      <c r="A4" s="491" t="str">
        <f t="shared" ca="1" si="0"/>
        <v>UFB-2 Revenue Summary</v>
      </c>
      <c r="B4" s="491">
        <f>ROW()</f>
        <v>4</v>
      </c>
      <c r="C4" s="491" t="str">
        <f>'Cover Page'!K6</f>
        <v>0421</v>
      </c>
      <c r="D4" s="491">
        <f>'Cover Page'!K4</f>
        <v>2020</v>
      </c>
      <c r="E4" s="491" t="s">
        <v>2031</v>
      </c>
      <c r="F4" s="491" t="s">
        <v>2080</v>
      </c>
      <c r="G4" s="491" t="s">
        <v>121</v>
      </c>
      <c r="H4" s="505">
        <f>'Cover Page'!M38</f>
        <v>0</v>
      </c>
      <c r="J4" s="356" t="s">
        <v>43</v>
      </c>
      <c r="K4" s="341"/>
      <c r="L4" s="692"/>
      <c r="M4" s="692"/>
      <c r="N4" s="48"/>
      <c r="O4" s="694"/>
      <c r="P4" s="48"/>
      <c r="Q4" s="696"/>
      <c r="R4" s="45" t="s">
        <v>44</v>
      </c>
      <c r="S4" s="451" t="s">
        <v>44</v>
      </c>
      <c r="T4" s="451" t="s">
        <v>45</v>
      </c>
      <c r="U4" s="451" t="s">
        <v>45</v>
      </c>
      <c r="V4" s="451" t="s">
        <v>45</v>
      </c>
      <c r="W4" s="451" t="s">
        <v>45</v>
      </c>
      <c r="X4" s="451" t="s">
        <v>45</v>
      </c>
      <c r="Y4" s="451" t="s">
        <v>45</v>
      </c>
    </row>
    <row r="5" spans="1:25" ht="31.5" customHeight="1">
      <c r="A5" s="491" t="str">
        <f t="shared" ca="1" si="0"/>
        <v>UFB-2 Revenue Summary</v>
      </c>
      <c r="B5" s="491">
        <f>ROW()</f>
        <v>5</v>
      </c>
      <c r="C5" s="491" t="str">
        <f>'Cover Page'!K6</f>
        <v>0421</v>
      </c>
      <c r="D5" s="491">
        <f>'Cover Page'!K4</f>
        <v>2020</v>
      </c>
      <c r="E5" s="491" t="s">
        <v>2031</v>
      </c>
      <c r="F5" s="491" t="s">
        <v>2080</v>
      </c>
      <c r="G5" s="491"/>
      <c r="H5" s="505">
        <f>'Cover Page'!M38</f>
        <v>0</v>
      </c>
      <c r="J5" s="356"/>
      <c r="K5" s="342"/>
      <c r="L5" s="693"/>
      <c r="M5" s="693"/>
      <c r="N5" s="49"/>
      <c r="O5" s="695"/>
      <c r="P5" s="49"/>
      <c r="Q5" s="697"/>
      <c r="R5" s="50"/>
      <c r="S5" s="452"/>
      <c r="T5" s="452"/>
      <c r="U5" s="452"/>
      <c r="V5" s="452"/>
      <c r="W5" s="452"/>
      <c r="X5" s="452"/>
      <c r="Y5" s="452"/>
    </row>
    <row r="6" spans="1:25">
      <c r="A6" s="491" t="str">
        <f t="shared" ca="1" si="0"/>
        <v>UFB-2 Revenue Summary</v>
      </c>
      <c r="B6" s="491">
        <f>ROW()</f>
        <v>6</v>
      </c>
      <c r="C6" s="491">
        <f>'Cover Page'!K5</f>
        <v>159</v>
      </c>
      <c r="D6" s="491">
        <f>'Cover Page'!K4</f>
        <v>2020</v>
      </c>
      <c r="E6" s="491" t="s">
        <v>2031</v>
      </c>
      <c r="F6" s="491" t="s">
        <v>2080</v>
      </c>
      <c r="G6" s="491" t="s">
        <v>2099</v>
      </c>
      <c r="H6" s="505">
        <f>'Cover Page'!M37</f>
        <v>0</v>
      </c>
      <c r="J6" s="357" t="s">
        <v>46</v>
      </c>
      <c r="K6" s="342" t="s">
        <v>2278</v>
      </c>
      <c r="L6" s="256">
        <f>M6/O6</f>
        <v>-0.16756756756756758</v>
      </c>
      <c r="M6" s="257">
        <f>(Q6-O6)</f>
        <v>-155000</v>
      </c>
      <c r="N6" s="51"/>
      <c r="O6" s="260">
        <f>750000+175000</f>
        <v>925000</v>
      </c>
      <c r="P6" s="51"/>
      <c r="Q6" s="257">
        <f>SUM(R6:Y6)</f>
        <v>770000</v>
      </c>
      <c r="R6" s="260">
        <f>575000</f>
        <v>575000</v>
      </c>
      <c r="S6" s="260"/>
      <c r="T6" s="260">
        <v>195000</v>
      </c>
      <c r="U6" s="260"/>
      <c r="V6" s="260"/>
      <c r="W6" s="260"/>
      <c r="X6" s="260"/>
      <c r="Y6" s="260"/>
    </row>
    <row r="7" spans="1:25">
      <c r="A7" s="491" t="str">
        <f t="shared" ca="1" si="0"/>
        <v>UFB-2 Revenue Summary</v>
      </c>
      <c r="B7" s="491">
        <f>ROW()</f>
        <v>7</v>
      </c>
      <c r="C7" s="491" t="str">
        <f>'Cover Page'!K6</f>
        <v>0421</v>
      </c>
      <c r="D7" s="491">
        <f>'Cover Page'!K4</f>
        <v>2020</v>
      </c>
      <c r="E7" s="491" t="s">
        <v>2031</v>
      </c>
      <c r="F7" s="491" t="s">
        <v>2080</v>
      </c>
      <c r="G7" s="491" t="s">
        <v>2100</v>
      </c>
      <c r="H7" s="505">
        <f>'Cover Page'!M38</f>
        <v>0</v>
      </c>
      <c r="J7" s="357" t="s">
        <v>46</v>
      </c>
      <c r="K7" s="342" t="s">
        <v>47</v>
      </c>
      <c r="L7" s="256">
        <f>M7/O7</f>
        <v>-0.53770024879495715</v>
      </c>
      <c r="M7" s="257">
        <f>(Q7-O7)</f>
        <v>-407432.9</v>
      </c>
      <c r="N7" s="51"/>
      <c r="O7" s="260">
        <f>309948.2+447784.2</f>
        <v>757732.4</v>
      </c>
      <c r="P7" s="51"/>
      <c r="Q7" s="257">
        <f>SUM(R7:Y7)</f>
        <v>350299.5</v>
      </c>
      <c r="R7" s="260">
        <f>173299.5</f>
        <v>173299.5</v>
      </c>
      <c r="S7" s="260"/>
      <c r="T7" s="260">
        <v>177000</v>
      </c>
      <c r="U7" s="260"/>
      <c r="V7" s="260"/>
      <c r="W7" s="260"/>
      <c r="X7" s="260"/>
      <c r="Y7" s="260"/>
    </row>
    <row r="8" spans="1:25">
      <c r="A8" s="491" t="str">
        <f ca="1">MID(CELL("filename",A8),FIND("]",CELL("filename",A8))+1,256)</f>
        <v>UFB-2 Revenue Summary</v>
      </c>
      <c r="B8" s="491">
        <f>ROW()</f>
        <v>8</v>
      </c>
      <c r="C8" s="491" t="str">
        <f>'Cover Page'!K6</f>
        <v>0421</v>
      </c>
      <c r="D8" s="491">
        <f>'Cover Page'!K4</f>
        <v>2020</v>
      </c>
      <c r="E8" s="491" t="s">
        <v>2031</v>
      </c>
      <c r="F8" s="491" t="s">
        <v>2080</v>
      </c>
      <c r="G8" s="491" t="s">
        <v>2101</v>
      </c>
      <c r="H8" s="505">
        <f>'Cover Page'!M38</f>
        <v>0</v>
      </c>
      <c r="J8" s="357" t="s">
        <v>48</v>
      </c>
      <c r="K8" s="342" t="s">
        <v>49</v>
      </c>
      <c r="L8" s="256">
        <f>M8/O8</f>
        <v>0</v>
      </c>
      <c r="M8" s="257">
        <f t="shared" ref="M8:M22" si="1">(Q8-O8)</f>
        <v>0</v>
      </c>
      <c r="N8" s="51"/>
      <c r="O8" s="260">
        <v>1181917</v>
      </c>
      <c r="P8" s="51"/>
      <c r="Q8" s="257">
        <f>SUM(R8:Y8)</f>
        <v>1181917</v>
      </c>
      <c r="R8" s="260">
        <v>1181917</v>
      </c>
      <c r="S8" s="260"/>
      <c r="T8" s="260"/>
      <c r="U8" s="260"/>
      <c r="V8" s="260"/>
      <c r="W8" s="260"/>
      <c r="X8" s="260"/>
      <c r="Y8" s="260"/>
    </row>
    <row r="9" spans="1:25">
      <c r="A9" s="491" t="str">
        <f ca="1">MID(CELL("filename",A9),FIND("]",CELL("filename",A9))+1,256)</f>
        <v>UFB-2 Revenue Summary</v>
      </c>
      <c r="B9" s="491">
        <f>ROW()</f>
        <v>9</v>
      </c>
      <c r="C9" s="491" t="str">
        <f>'Cover Page'!K6</f>
        <v>0421</v>
      </c>
      <c r="D9" s="491">
        <f>'Cover Page'!K4</f>
        <v>2020</v>
      </c>
      <c r="E9" s="491" t="s">
        <v>2031</v>
      </c>
      <c r="F9" s="491" t="s">
        <v>2080</v>
      </c>
      <c r="G9" s="491" t="s">
        <v>2102</v>
      </c>
      <c r="H9" s="505">
        <f>'Cover Page'!M38</f>
        <v>0</v>
      </c>
      <c r="J9" s="357" t="s">
        <v>46</v>
      </c>
      <c r="K9" s="343" t="s">
        <v>50</v>
      </c>
      <c r="L9" s="256">
        <f>M9/O9</f>
        <v>-0.375</v>
      </c>
      <c r="M9" s="257">
        <f t="shared" si="1"/>
        <v>-9000</v>
      </c>
      <c r="N9" s="51"/>
      <c r="O9" s="260">
        <v>24000</v>
      </c>
      <c r="P9" s="51"/>
      <c r="Q9" s="257">
        <f>SUM(R9:Y9)</f>
        <v>15000</v>
      </c>
      <c r="R9" s="260">
        <v>15000</v>
      </c>
      <c r="S9" s="260"/>
      <c r="T9" s="260"/>
      <c r="U9" s="260"/>
      <c r="V9" s="260"/>
      <c r="W9" s="260"/>
      <c r="X9" s="260"/>
      <c r="Y9" s="260"/>
    </row>
    <row r="10" spans="1:25">
      <c r="A10" s="491" t="str">
        <f ca="1">MID(CELL("filename",A10),FIND("]",CELL("filename",A10))+1,256)</f>
        <v>UFB-2 Revenue Summary</v>
      </c>
      <c r="B10" s="491">
        <f>ROW()</f>
        <v>10</v>
      </c>
      <c r="C10" s="491" t="str">
        <f>'Cover Page'!K6</f>
        <v>0421</v>
      </c>
      <c r="D10" s="491">
        <f>'Cover Page'!K4</f>
        <v>2020</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0421</v>
      </c>
      <c r="D11" s="491">
        <f>'Cover Page'!K4</f>
        <v>2020</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0421</v>
      </c>
      <c r="D12" s="491">
        <f>'Cover Page'!K4</f>
        <v>2020</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0421</v>
      </c>
      <c r="D13" s="491">
        <f>'Cover Page'!K4</f>
        <v>2020</v>
      </c>
      <c r="E13" s="491" t="s">
        <v>2031</v>
      </c>
      <c r="F13" s="491" t="s">
        <v>2080</v>
      </c>
      <c r="G13" s="491" t="s">
        <v>2105</v>
      </c>
      <c r="H13" s="505">
        <f>'Cover Page'!M38</f>
        <v>0</v>
      </c>
      <c r="J13" s="357" t="s">
        <v>54</v>
      </c>
      <c r="K13" s="343" t="s">
        <v>2287</v>
      </c>
      <c r="L13" s="256">
        <f>M13/O13</f>
        <v>-0.85312126383808973</v>
      </c>
      <c r="M13" s="257">
        <f t="shared" si="1"/>
        <v>-128163.87</v>
      </c>
      <c r="N13" s="51"/>
      <c r="O13" s="260">
        <v>150229.37</v>
      </c>
      <c r="P13" s="51"/>
      <c r="Q13" s="257">
        <f>SUM(R13:Y13)</f>
        <v>22065.5</v>
      </c>
      <c r="R13" s="409">
        <v>22065.5</v>
      </c>
      <c r="S13" s="409"/>
      <c r="T13" s="409"/>
      <c r="U13" s="409"/>
      <c r="V13" s="409"/>
      <c r="W13" s="409"/>
      <c r="X13" s="409"/>
      <c r="Y13" s="409"/>
    </row>
    <row r="14" spans="1:25">
      <c r="A14" s="491" t="str">
        <f t="shared" ca="1" si="0"/>
        <v>UFB-2 Revenue Summary</v>
      </c>
      <c r="B14" s="491">
        <f>ROW()</f>
        <v>14</v>
      </c>
      <c r="C14" s="491" t="str">
        <f>'Cover Page'!K6</f>
        <v>0421</v>
      </c>
      <c r="D14" s="491">
        <f>'Cover Page'!K4</f>
        <v>2020</v>
      </c>
      <c r="E14" s="491" t="s">
        <v>2031</v>
      </c>
      <c r="F14" s="491" t="s">
        <v>2080</v>
      </c>
      <c r="G14" s="491" t="s">
        <v>2106</v>
      </c>
      <c r="H14" s="505">
        <f>'Cover Page'!M38</f>
        <v>0</v>
      </c>
      <c r="J14" s="357" t="s">
        <v>46</v>
      </c>
      <c r="K14" s="343" t="s">
        <v>55</v>
      </c>
      <c r="L14" s="256" t="e">
        <f>M14/O14</f>
        <v>#DIV/0!</v>
      </c>
      <c r="M14" s="257">
        <f t="shared" si="1"/>
        <v>624718</v>
      </c>
      <c r="N14" s="51"/>
      <c r="O14" s="260"/>
      <c r="P14" s="51"/>
      <c r="Q14" s="257">
        <f>SUM(R14:Y14)</f>
        <v>624718</v>
      </c>
      <c r="R14" s="409">
        <v>624718</v>
      </c>
      <c r="S14" s="409"/>
      <c r="T14" s="409"/>
      <c r="U14" s="409"/>
      <c r="V14" s="409"/>
      <c r="W14" s="409"/>
      <c r="X14" s="409"/>
      <c r="Y14" s="409"/>
    </row>
    <row r="15" spans="1:25">
      <c r="A15" s="491" t="str">
        <f t="shared" ca="1" si="0"/>
        <v>UFB-2 Revenue Summary</v>
      </c>
      <c r="B15" s="491">
        <f>ROW()</f>
        <v>15</v>
      </c>
      <c r="C15" s="491" t="str">
        <f>'Cover Page'!K6</f>
        <v>0421</v>
      </c>
      <c r="D15" s="491">
        <f>'Cover Page'!K4</f>
        <v>2020</v>
      </c>
      <c r="E15" s="491" t="s">
        <v>2031</v>
      </c>
      <c r="F15" s="491" t="s">
        <v>2080</v>
      </c>
      <c r="G15" s="491" t="s">
        <v>2107</v>
      </c>
      <c r="H15" s="505">
        <f>'Cover Page'!M38</f>
        <v>0</v>
      </c>
      <c r="J15" s="357" t="s">
        <v>56</v>
      </c>
      <c r="K15" s="343" t="s">
        <v>57</v>
      </c>
      <c r="L15" s="256">
        <f>M15/O15</f>
        <v>-5.0794954758542503E-2</v>
      </c>
      <c r="M15" s="257">
        <f t="shared" si="1"/>
        <v>-22743.090000000026</v>
      </c>
      <c r="N15" s="51"/>
      <c r="O15" s="260">
        <v>447743.09</v>
      </c>
      <c r="P15" s="51"/>
      <c r="Q15" s="257">
        <f>SUM(R15:Y15)</f>
        <v>425000</v>
      </c>
      <c r="R15" s="409">
        <v>425000</v>
      </c>
      <c r="S15" s="409"/>
      <c r="T15" s="409"/>
      <c r="U15" s="409"/>
      <c r="V15" s="409"/>
      <c r="W15" s="409"/>
      <c r="X15" s="409"/>
      <c r="Y15" s="409"/>
    </row>
    <row r="16" spans="1:25">
      <c r="A16" s="491" t="str">
        <f t="shared" ca="1" si="0"/>
        <v>UFB-2 Revenue Summary</v>
      </c>
      <c r="B16" s="491">
        <f>ROW()</f>
        <v>16</v>
      </c>
      <c r="C16" s="491" t="str">
        <f>'Cover Page'!K6</f>
        <v>0421</v>
      </c>
      <c r="D16" s="491">
        <f>'Cover Page'!K4</f>
        <v>2020</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0421</v>
      </c>
      <c r="D17" s="491">
        <f>'Cover Page'!K4</f>
        <v>2020</v>
      </c>
      <c r="E17" s="491" t="s">
        <v>2031</v>
      </c>
      <c r="F17" s="491" t="s">
        <v>2080</v>
      </c>
      <c r="G17" s="491" t="s">
        <v>2108</v>
      </c>
      <c r="H17" s="505">
        <f>'Cover Page'!M38</f>
        <v>0</v>
      </c>
      <c r="J17" s="357" t="s">
        <v>58</v>
      </c>
      <c r="K17" s="343" t="s">
        <v>59</v>
      </c>
      <c r="L17" s="256">
        <f t="shared" ref="L17:L22" si="2">M17/O17</f>
        <v>-3.7799248282587156E-2</v>
      </c>
      <c r="M17" s="257">
        <f t="shared" si="1"/>
        <v>-78568.320000000065</v>
      </c>
      <c r="N17" s="51"/>
      <c r="O17" s="260">
        <v>2078568.32</v>
      </c>
      <c r="P17" s="51"/>
      <c r="Q17" s="257">
        <f>SUM(R17:Y17)</f>
        <v>2000000</v>
      </c>
      <c r="R17" s="409">
        <v>2000000</v>
      </c>
      <c r="S17" s="409"/>
      <c r="T17" s="409"/>
      <c r="U17" s="409"/>
      <c r="V17" s="409"/>
      <c r="W17" s="409"/>
      <c r="X17" s="409"/>
      <c r="Y17" s="409"/>
    </row>
    <row r="18" spans="1:25">
      <c r="A18" s="491" t="str">
        <f t="shared" ca="1" si="0"/>
        <v>UFB-2 Revenue Summary</v>
      </c>
      <c r="B18" s="491">
        <f>ROW()</f>
        <v>18</v>
      </c>
      <c r="C18" s="491" t="str">
        <f>'Cover Page'!K6</f>
        <v>0421</v>
      </c>
      <c r="D18" s="491">
        <f>'Cover Page'!K4</f>
        <v>2020</v>
      </c>
      <c r="E18" s="491" t="s">
        <v>2031</v>
      </c>
      <c r="F18" s="491" t="s">
        <v>2080</v>
      </c>
      <c r="G18" s="491" t="s">
        <v>2109</v>
      </c>
      <c r="H18" s="505">
        <f>'Cover Page'!M38</f>
        <v>0</v>
      </c>
      <c r="J18" s="357" t="s">
        <v>58</v>
      </c>
      <c r="K18" s="345" t="s">
        <v>60</v>
      </c>
      <c r="L18" s="256" t="e">
        <f t="shared" si="2"/>
        <v>#DIV/0!</v>
      </c>
      <c r="M18" s="257">
        <f t="shared" si="1"/>
        <v>0</v>
      </c>
      <c r="N18" s="51"/>
      <c r="O18" s="260"/>
      <c r="P18" s="51"/>
      <c r="Q18" s="257">
        <f>SUM(R18:Y18)</f>
        <v>0</v>
      </c>
      <c r="R18" s="410"/>
      <c r="S18" s="410"/>
      <c r="T18" s="410"/>
      <c r="U18" s="410"/>
      <c r="V18" s="410"/>
      <c r="W18" s="410"/>
      <c r="X18" s="410"/>
      <c r="Y18" s="410"/>
    </row>
    <row r="19" spans="1:25">
      <c r="A19" s="491" t="str">
        <f t="shared" ca="1" si="0"/>
        <v>UFB-2 Revenue Summary</v>
      </c>
      <c r="B19" s="491">
        <f>ROW()</f>
        <v>19</v>
      </c>
      <c r="C19" s="491" t="str">
        <f>'Cover Page'!K6</f>
        <v>0421</v>
      </c>
      <c r="D19" s="491">
        <f>'Cover Page'!K4</f>
        <v>2020</v>
      </c>
      <c r="E19" s="491" t="s">
        <v>2031</v>
      </c>
      <c r="F19" s="491" t="s">
        <v>2080</v>
      </c>
      <c r="G19" s="491" t="s">
        <v>2110</v>
      </c>
      <c r="H19" s="505">
        <f>'Cover Page'!M38</f>
        <v>0</v>
      </c>
      <c r="J19" s="455" t="s">
        <v>2266</v>
      </c>
      <c r="K19" s="456" t="s">
        <v>301</v>
      </c>
      <c r="L19" s="256" t="e">
        <f t="shared" si="2"/>
        <v>#DIV/0!</v>
      </c>
      <c r="M19" s="257">
        <f t="shared" si="1"/>
        <v>0</v>
      </c>
      <c r="N19" s="51"/>
      <c r="O19" s="260"/>
      <c r="P19" s="51"/>
      <c r="Q19" s="257">
        <f>SUM(R19:Y19)</f>
        <v>0</v>
      </c>
      <c r="R19" s="457"/>
      <c r="S19" s="457"/>
      <c r="T19" s="457"/>
      <c r="U19" s="457"/>
      <c r="V19" s="457"/>
      <c r="W19" s="457"/>
      <c r="X19" s="457"/>
      <c r="Y19" s="457"/>
    </row>
    <row r="20" spans="1:25">
      <c r="A20" s="491" t="str">
        <f t="shared" ca="1" si="0"/>
        <v>UFB-2 Revenue Summary</v>
      </c>
      <c r="B20" s="491">
        <f>ROW()</f>
        <v>20</v>
      </c>
      <c r="C20" s="491" t="str">
        <f>'Cover Page'!K6</f>
        <v>0421</v>
      </c>
      <c r="D20" s="491">
        <f>'Cover Page'!K4</f>
        <v>2020</v>
      </c>
      <c r="E20" s="491" t="s">
        <v>2031</v>
      </c>
      <c r="F20" s="491" t="s">
        <v>2080</v>
      </c>
      <c r="G20" s="491" t="s">
        <v>2111</v>
      </c>
      <c r="H20" s="505">
        <f>'Cover Page'!M38</f>
        <v>0</v>
      </c>
      <c r="J20" s="455" t="s">
        <v>58</v>
      </c>
      <c r="K20" s="456" t="s">
        <v>61</v>
      </c>
      <c r="L20" s="256" t="e">
        <f t="shared" si="2"/>
        <v>#DIV/0!</v>
      </c>
      <c r="M20" s="257">
        <f t="shared" si="1"/>
        <v>0</v>
      </c>
      <c r="N20" s="51"/>
      <c r="O20" s="260"/>
      <c r="P20" s="51"/>
      <c r="Q20" s="257">
        <f>SUM(R20:Y20)</f>
        <v>0</v>
      </c>
      <c r="R20" s="457"/>
      <c r="S20" s="457"/>
      <c r="T20" s="457"/>
      <c r="U20" s="457"/>
      <c r="V20" s="457"/>
      <c r="W20" s="457"/>
      <c r="X20" s="457"/>
      <c r="Y20" s="457"/>
    </row>
    <row r="21" spans="1:25" ht="16.5" thickBot="1">
      <c r="A21" s="491" t="str">
        <f t="shared" ca="1" si="0"/>
        <v>UFB-2 Revenue Summary</v>
      </c>
      <c r="B21" s="491">
        <f>ROW()</f>
        <v>21</v>
      </c>
      <c r="C21" s="491" t="str">
        <f>'Cover Page'!K6</f>
        <v>0421</v>
      </c>
      <c r="D21" s="491">
        <f>'Cover Page'!K4</f>
        <v>2020</v>
      </c>
      <c r="E21" s="491" t="s">
        <v>2031</v>
      </c>
      <c r="F21" s="491" t="s">
        <v>2080</v>
      </c>
      <c r="G21" s="491" t="s">
        <v>2112</v>
      </c>
      <c r="H21" s="505">
        <f>'Cover Page'!M38</f>
        <v>0</v>
      </c>
      <c r="J21" s="359" t="s">
        <v>46</v>
      </c>
      <c r="K21" s="346" t="s">
        <v>2267</v>
      </c>
      <c r="L21" s="256" t="e">
        <f t="shared" si="2"/>
        <v>#DIV/0!</v>
      </c>
      <c r="M21" s="257">
        <f t="shared" si="1"/>
        <v>0</v>
      </c>
      <c r="N21" s="460"/>
      <c r="O21" s="459"/>
      <c r="P21" s="460"/>
      <c r="Q21" s="257">
        <f>SUM(R21:Y21)</f>
        <v>0</v>
      </c>
      <c r="R21" s="472"/>
      <c r="S21" s="411"/>
      <c r="T21" s="411"/>
      <c r="U21" s="411"/>
      <c r="V21" s="411"/>
      <c r="W21" s="411"/>
      <c r="X21" s="411"/>
      <c r="Y21" s="411"/>
    </row>
    <row r="22" spans="1:25" ht="17.25" thickTop="1" thickBot="1">
      <c r="A22" s="491" t="str">
        <f t="shared" ca="1" si="0"/>
        <v>UFB-2 Revenue Summary</v>
      </c>
      <c r="B22" s="491">
        <f>ROW()</f>
        <v>22</v>
      </c>
      <c r="C22" s="491" t="str">
        <f>'Cover Page'!K6</f>
        <v>0421</v>
      </c>
      <c r="D22" s="491">
        <f>'Cover Page'!K4</f>
        <v>2020</v>
      </c>
      <c r="E22" s="491" t="s">
        <v>2031</v>
      </c>
      <c r="F22" s="491" t="s">
        <v>2080</v>
      </c>
      <c r="G22" s="491" t="s">
        <v>2113</v>
      </c>
      <c r="H22" s="505">
        <f>'Cover Page'!M38</f>
        <v>0</v>
      </c>
      <c r="J22" s="360"/>
      <c r="K22" s="347" t="s">
        <v>97</v>
      </c>
      <c r="L22" s="254">
        <f t="shared" si="2"/>
        <v>-3.1659327768022424E-2</v>
      </c>
      <c r="M22" s="259">
        <f t="shared" si="1"/>
        <v>-176190.1799999997</v>
      </c>
      <c r="N22" s="52"/>
      <c r="O22" s="259">
        <f>SUM(O6:O21)</f>
        <v>5565190.1799999997</v>
      </c>
      <c r="P22" s="52"/>
      <c r="Q22" s="259">
        <f>SUM(Q6:Q21)</f>
        <v>5389000</v>
      </c>
      <c r="R22" s="259">
        <f>SUM(R6:R21)</f>
        <v>5017000</v>
      </c>
      <c r="S22" s="259">
        <f>SUM(S6:S21)</f>
        <v>0</v>
      </c>
      <c r="T22" s="259">
        <f>SUM(T6:T21)</f>
        <v>372000</v>
      </c>
      <c r="U22" s="259">
        <f>SUM(U6:U21)</f>
        <v>0</v>
      </c>
      <c r="V22" s="637">
        <f t="shared" ref="V22:Y22" si="3">SUM(V6:V21)</f>
        <v>0</v>
      </c>
      <c r="W22" s="637">
        <f t="shared" si="3"/>
        <v>0</v>
      </c>
      <c r="X22" s="637">
        <f t="shared" si="3"/>
        <v>0</v>
      </c>
      <c r="Y22" s="637">
        <f t="shared" si="3"/>
        <v>0</v>
      </c>
    </row>
    <row r="23" spans="1:25" ht="16.5" thickTop="1">
      <c r="A23" s="491"/>
      <c r="B23" s="491"/>
      <c r="C23" s="491"/>
      <c r="D23" s="491"/>
      <c r="E23" s="491"/>
      <c r="F23" s="491"/>
      <c r="G23" s="491"/>
      <c r="H23" s="494"/>
      <c r="J23" s="53"/>
      <c r="K23" s="690" t="s">
        <v>2275</v>
      </c>
      <c r="L23" s="690"/>
      <c r="M23" s="690"/>
      <c r="N23" s="690"/>
      <c r="O23" s="690"/>
      <c r="P23" s="690"/>
      <c r="Q23" s="690"/>
      <c r="R23" s="690"/>
      <c r="S23" s="690"/>
      <c r="T23" s="690"/>
      <c r="U23" s="690"/>
    </row>
    <row r="24" spans="1:25">
      <c r="A24" s="491"/>
      <c r="B24" s="491"/>
      <c r="C24" s="491"/>
      <c r="D24" s="491"/>
      <c r="E24" s="491"/>
      <c r="F24" s="491"/>
      <c r="G24" s="491"/>
      <c r="H24" s="494"/>
      <c r="J24" s="53"/>
      <c r="L24" s="46"/>
      <c r="M24" s="46"/>
      <c r="N24" s="46"/>
      <c r="O24" s="46"/>
      <c r="P24" s="46"/>
      <c r="Q24" s="46"/>
      <c r="R24" s="46"/>
      <c r="S24" s="46"/>
      <c r="T24" s="46"/>
      <c r="U24" s="46"/>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row>
    <row r="27" spans="1:25">
      <c r="A27" s="491"/>
      <c r="B27" s="491"/>
      <c r="C27" s="491"/>
      <c r="D27" s="491"/>
      <c r="E27" s="491"/>
      <c r="F27" s="491"/>
      <c r="G27" s="491"/>
      <c r="H27" s="494"/>
      <c r="J27" s="55"/>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504"/>
      <c r="B31" s="503"/>
      <c r="C31" s="491"/>
      <c r="D31" s="491"/>
      <c r="E31" s="491"/>
      <c r="F31" s="491"/>
      <c r="G31" s="491"/>
      <c r="H31" s="494"/>
      <c r="J31" s="47"/>
    </row>
    <row r="32" spans="1:25">
      <c r="A32" s="504"/>
      <c r="B32" s="503"/>
      <c r="C32" s="491"/>
      <c r="D32" s="491"/>
      <c r="E32" s="491"/>
      <c r="F32" s="491"/>
      <c r="G32" s="491"/>
      <c r="H32" s="494"/>
      <c r="J32" s="47"/>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sheetData>
  <sheetProtection algorithmName="SHA-512" hashValue="k3q3kTKZnygEgSX/WmzJZt+63A20z7ETmCLIoPC8K98CHslbSCRZrqj22+2yycpMe8dgfRRrqHHhHvjgdcM1+Q==" saltValue="uXtBa9fv9fhTt0oflCj8oQ==" spinCount="100000" sheet="1" formatCells="0" formatColumns="0" formatRows="0" insertColumns="0"/>
  <mergeCells count="5">
    <mergeCell ref="K23:U23"/>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40"/>
  <sheetViews>
    <sheetView topLeftCell="K1" zoomScaleNormal="100" workbookViewId="0">
      <selection activeCell="P25" sqref="P25"/>
    </sheetView>
  </sheetViews>
  <sheetFormatPr defaultColWidth="10.5703125" defaultRowHeight="15.75"/>
  <cols>
    <col min="1" max="9" width="10.5703125" style="54" hidden="1" customWidth="1"/>
    <col min="10" max="10" width="10" style="59" customWidth="1"/>
    <col min="11" max="11" width="27.7109375" style="54" customWidth="1"/>
    <col min="12" max="12" width="9.85546875" style="54" customWidth="1"/>
    <col min="13" max="13" width="10.140625" style="54" customWidth="1"/>
    <col min="14" max="14" width="14.5703125" style="54" customWidth="1"/>
    <col min="15" max="15" width="17.7109375" style="54" customWidth="1"/>
    <col min="16" max="16" width="17" style="54" customWidth="1"/>
    <col min="17" max="17" width="1" style="54" customWidth="1"/>
    <col min="18" max="18" width="17.5703125" style="54" customWidth="1"/>
    <col min="19" max="20" width="19.5703125" style="54" customWidth="1"/>
    <col min="21" max="21" width="20" style="54" customWidth="1"/>
    <col min="22" max="23" width="19.140625" style="54" customWidth="1"/>
    <col min="24" max="27" width="18.28515625" style="54" customWidth="1"/>
    <col min="28" max="16384" width="10.5703125" style="54"/>
  </cols>
  <sheetData>
    <row r="1" spans="1:27" s="57" customFormat="1" ht="19.5" thickBot="1">
      <c r="A1" s="491" t="str">
        <f ca="1">MID(CELL("filename",A2),FIND("]",CELL("filename",A2))+1,256)</f>
        <v>UFB-3 Appropriations Summary</v>
      </c>
      <c r="B1" s="491">
        <f>ROW()</f>
        <v>1</v>
      </c>
      <c r="C1" s="491" t="str">
        <f>'Cover Page'!K6</f>
        <v>0421</v>
      </c>
      <c r="D1" s="491">
        <f>'Cover Page'!K4</f>
        <v>2020</v>
      </c>
      <c r="E1" s="491" t="s">
        <v>2031</v>
      </c>
      <c r="F1" s="491" t="s">
        <v>2114</v>
      </c>
      <c r="G1" s="491"/>
      <c r="H1" s="505">
        <f>'Cover Page'!M38</f>
        <v>0</v>
      </c>
      <c r="J1" s="699" t="s">
        <v>268</v>
      </c>
      <c r="K1" s="699"/>
      <c r="L1" s="699"/>
      <c r="M1" s="699"/>
      <c r="N1" s="699"/>
      <c r="O1" s="699"/>
      <c r="P1" s="699"/>
      <c r="Q1" s="699"/>
      <c r="R1" s="699"/>
      <c r="S1" s="699"/>
      <c r="T1" s="699"/>
      <c r="U1" s="699"/>
      <c r="V1" s="699"/>
      <c r="W1" s="699"/>
    </row>
    <row r="2" spans="1:27" ht="16.5" thickTop="1">
      <c r="A2" s="491" t="str">
        <f ca="1">MID(CELL("filename",A2),FIND("]",CELL("filename",A2))+1,256)</f>
        <v>UFB-3 Appropriations Summary</v>
      </c>
      <c r="B2" s="491">
        <f>ROW()</f>
        <v>2</v>
      </c>
      <c r="C2" s="491" t="str">
        <f>'Cover Page'!K6</f>
        <v>0421</v>
      </c>
      <c r="D2" s="491">
        <f>'Cover Page'!K4</f>
        <v>2020</v>
      </c>
      <c r="E2" s="491" t="s">
        <v>2031</v>
      </c>
      <c r="F2" s="491" t="s">
        <v>2114</v>
      </c>
      <c r="G2" s="491" t="s">
        <v>121</v>
      </c>
      <c r="H2" s="505">
        <f>'Cover Page'!M38</f>
        <v>0</v>
      </c>
      <c r="J2" s="348"/>
      <c r="K2" s="353"/>
      <c r="L2" s="702" t="s">
        <v>209</v>
      </c>
      <c r="M2" s="703"/>
      <c r="N2" s="691" t="s">
        <v>62</v>
      </c>
      <c r="O2" s="691" t="s">
        <v>63</v>
      </c>
      <c r="P2" s="691" t="s">
        <v>306</v>
      </c>
      <c r="Q2" s="44"/>
      <c r="R2" s="691" t="s">
        <v>64</v>
      </c>
      <c r="S2" s="354" t="s">
        <v>42</v>
      </c>
      <c r="T2" s="354" t="s">
        <v>2269</v>
      </c>
      <c r="U2" s="454" t="s">
        <v>300</v>
      </c>
      <c r="V2" s="633" t="s">
        <v>2337</v>
      </c>
      <c r="W2" s="633"/>
      <c r="X2" s="633"/>
      <c r="Y2" s="633"/>
      <c r="Z2" s="633"/>
      <c r="AA2" s="633"/>
    </row>
    <row r="3" spans="1:27">
      <c r="A3" s="491" t="str">
        <f t="shared" ref="A3:A28" ca="1" si="0">MID(CELL("filename",A3),FIND("]",CELL("filename",A3))+1,256)</f>
        <v>UFB-3 Appropriations Summary</v>
      </c>
      <c r="B3" s="491">
        <f>ROW()</f>
        <v>3</v>
      </c>
      <c r="C3" s="491" t="str">
        <f>'Cover Page'!K6</f>
        <v>0421</v>
      </c>
      <c r="D3" s="491">
        <f>'Cover Page'!K4</f>
        <v>2020</v>
      </c>
      <c r="E3" s="491" t="s">
        <v>2031</v>
      </c>
      <c r="F3" s="491" t="s">
        <v>2114</v>
      </c>
      <c r="G3" s="491" t="s">
        <v>121</v>
      </c>
      <c r="H3" s="505">
        <f>'Cover Page'!M38</f>
        <v>0</v>
      </c>
      <c r="J3" s="349" t="s">
        <v>43</v>
      </c>
      <c r="K3" s="58"/>
      <c r="L3" s="202" t="s">
        <v>210</v>
      </c>
      <c r="M3" s="203" t="s">
        <v>211</v>
      </c>
      <c r="N3" s="692"/>
      <c r="O3" s="700"/>
      <c r="P3" s="700"/>
      <c r="Q3" s="60"/>
      <c r="R3" s="692"/>
      <c r="S3" s="45" t="s">
        <v>44</v>
      </c>
      <c r="T3" s="45" t="s">
        <v>2270</v>
      </c>
      <c r="U3" s="451" t="s">
        <v>44</v>
      </c>
      <c r="V3" s="451" t="s">
        <v>45</v>
      </c>
      <c r="W3" s="451" t="s">
        <v>45</v>
      </c>
      <c r="X3" s="451" t="s">
        <v>45</v>
      </c>
      <c r="Y3" s="451" t="s">
        <v>45</v>
      </c>
      <c r="Z3" s="451" t="s">
        <v>45</v>
      </c>
      <c r="AA3" s="451" t="s">
        <v>45</v>
      </c>
    </row>
    <row r="4" spans="1:27" ht="47.25" customHeight="1">
      <c r="A4" s="491" t="str">
        <f t="shared" ca="1" si="0"/>
        <v>UFB-3 Appropriations Summary</v>
      </c>
      <c r="B4" s="491">
        <f>ROW()</f>
        <v>4</v>
      </c>
      <c r="C4" s="491" t="str">
        <f>'Cover Page'!K6</f>
        <v>0421</v>
      </c>
      <c r="D4" s="491">
        <f>'Cover Page'!K4</f>
        <v>2020</v>
      </c>
      <c r="E4" s="491" t="s">
        <v>2031</v>
      </c>
      <c r="F4" s="491" t="s">
        <v>2114</v>
      </c>
      <c r="G4" s="491" t="s">
        <v>121</v>
      </c>
      <c r="H4" s="505">
        <f>'Cover Page'!M38</f>
        <v>0</v>
      </c>
      <c r="L4" s="204"/>
      <c r="M4" s="205"/>
      <c r="N4" s="693"/>
      <c r="O4" s="701"/>
      <c r="P4" s="701"/>
      <c r="Q4" s="62"/>
      <c r="R4" s="693"/>
      <c r="S4" s="50"/>
      <c r="T4" s="50"/>
      <c r="U4" s="452"/>
      <c r="V4" s="452"/>
      <c r="W4" s="452"/>
      <c r="X4" s="452"/>
      <c r="Y4" s="452"/>
      <c r="Z4" s="452"/>
      <c r="AA4" s="452"/>
    </row>
    <row r="5" spans="1:27">
      <c r="A5" s="491" t="str">
        <f t="shared" ca="1" si="0"/>
        <v>UFB-3 Appropriations Summary</v>
      </c>
      <c r="B5" s="491">
        <f>ROW()</f>
        <v>5</v>
      </c>
      <c r="C5" s="491" t="str">
        <f>'Cover Page'!K6</f>
        <v>0421</v>
      </c>
      <c r="D5" s="491">
        <f>'Cover Page'!K4</f>
        <v>2020</v>
      </c>
      <c r="E5" s="491" t="s">
        <v>2031</v>
      </c>
      <c r="F5" s="491" t="s">
        <v>2114</v>
      </c>
      <c r="G5" s="491" t="s">
        <v>2136</v>
      </c>
      <c r="H5" s="505">
        <f>'Cover Page'!M38</f>
        <v>0</v>
      </c>
      <c r="J5" s="350">
        <v>20</v>
      </c>
      <c r="K5" s="628" t="s">
        <v>65</v>
      </c>
      <c r="L5" s="245">
        <v>6</v>
      </c>
      <c r="M5" s="246">
        <v>7</v>
      </c>
      <c r="N5" s="261">
        <f t="shared" ref="N5:N28" si="1">O5/P5</f>
        <v>3.320529518679588E-2</v>
      </c>
      <c r="O5" s="257">
        <f t="shared" ref="O5:O28" si="2">(R5-P5)</f>
        <v>36100</v>
      </c>
      <c r="P5" s="260">
        <f>843676+134500+109000</f>
        <v>1087176</v>
      </c>
      <c r="Q5" s="51"/>
      <c r="R5" s="257">
        <f t="shared" ref="R5:R27" si="3">SUM(S5:AA5)</f>
        <v>1123276</v>
      </c>
      <c r="S5" s="260">
        <v>847276</v>
      </c>
      <c r="T5" s="260"/>
      <c r="U5" s="260"/>
      <c r="V5" s="260">
        <v>276000</v>
      </c>
      <c r="W5" s="260"/>
      <c r="X5" s="260"/>
      <c r="Y5" s="260"/>
      <c r="Z5" s="260"/>
      <c r="AA5" s="260"/>
    </row>
    <row r="6" spans="1:27">
      <c r="A6" s="491" t="str">
        <f t="shared" ca="1" si="0"/>
        <v>UFB-3 Appropriations Summary</v>
      </c>
      <c r="B6" s="491">
        <f>ROW()</f>
        <v>6</v>
      </c>
      <c r="C6" s="491" t="str">
        <f>'Cover Page'!K6</f>
        <v>0421</v>
      </c>
      <c r="D6" s="491">
        <f>'Cover Page'!K4</f>
        <v>2020</v>
      </c>
      <c r="E6" s="491" t="s">
        <v>2031</v>
      </c>
      <c r="F6" s="491" t="s">
        <v>2114</v>
      </c>
      <c r="G6" s="491" t="s">
        <v>2115</v>
      </c>
      <c r="H6" s="505">
        <f>'Cover Page'!M38</f>
        <v>0</v>
      </c>
      <c r="J6" s="350">
        <v>21</v>
      </c>
      <c r="K6" s="61" t="s">
        <v>66</v>
      </c>
      <c r="L6" s="245"/>
      <c r="M6" s="246"/>
      <c r="N6" s="261">
        <f t="shared" si="1"/>
        <v>0</v>
      </c>
      <c r="O6" s="257">
        <f t="shared" si="2"/>
        <v>0</v>
      </c>
      <c r="P6" s="260">
        <v>35700</v>
      </c>
      <c r="Q6" s="51"/>
      <c r="R6" s="257">
        <f t="shared" si="3"/>
        <v>35700</v>
      </c>
      <c r="S6" s="260">
        <v>35700</v>
      </c>
      <c r="T6" s="260"/>
      <c r="U6" s="260"/>
      <c r="V6" s="260"/>
      <c r="W6" s="260"/>
      <c r="X6" s="260"/>
      <c r="Y6" s="260"/>
      <c r="Z6" s="260"/>
      <c r="AA6" s="260"/>
    </row>
    <row r="7" spans="1:27">
      <c r="A7" s="491" t="str">
        <f t="shared" ca="1" si="0"/>
        <v>UFB-3 Appropriations Summary</v>
      </c>
      <c r="B7" s="491">
        <f>ROW()</f>
        <v>7</v>
      </c>
      <c r="C7" s="491" t="str">
        <f>'Cover Page'!K6</f>
        <v>0421</v>
      </c>
      <c r="D7" s="491">
        <f>'Cover Page'!K4</f>
        <v>2020</v>
      </c>
      <c r="E7" s="491" t="s">
        <v>2031</v>
      </c>
      <c r="F7" s="491" t="s">
        <v>2114</v>
      </c>
      <c r="G7" s="491" t="s">
        <v>2116</v>
      </c>
      <c r="H7" s="505">
        <f>'Cover Page'!M38</f>
        <v>0</v>
      </c>
      <c r="J7" s="350">
        <v>22</v>
      </c>
      <c r="K7" s="61" t="s">
        <v>67</v>
      </c>
      <c r="L7" s="245">
        <v>1</v>
      </c>
      <c r="M7" s="246">
        <v>2</v>
      </c>
      <c r="N7" s="261">
        <f t="shared" si="1"/>
        <v>-0.21523376778667941</v>
      </c>
      <c r="O7" s="257">
        <f t="shared" si="2"/>
        <v>-12600</v>
      </c>
      <c r="P7" s="260">
        <v>58541</v>
      </c>
      <c r="Q7" s="51"/>
      <c r="R7" s="257">
        <f t="shared" si="3"/>
        <v>45941</v>
      </c>
      <c r="S7" s="260">
        <v>45941</v>
      </c>
      <c r="T7" s="260"/>
      <c r="U7" s="260"/>
      <c r="V7" s="260"/>
      <c r="W7" s="260"/>
      <c r="X7" s="260"/>
      <c r="Y7" s="260"/>
      <c r="Z7" s="260"/>
      <c r="AA7" s="260"/>
    </row>
    <row r="8" spans="1:27">
      <c r="A8" s="491" t="str">
        <f t="shared" ca="1" si="0"/>
        <v>UFB-3 Appropriations Summary</v>
      </c>
      <c r="B8" s="491">
        <f>ROW()</f>
        <v>8</v>
      </c>
      <c r="C8" s="491" t="str">
        <f>'Cover Page'!K6</f>
        <v>0421</v>
      </c>
      <c r="D8" s="491">
        <f>'Cover Page'!K4</f>
        <v>2020</v>
      </c>
      <c r="E8" s="491" t="s">
        <v>2031</v>
      </c>
      <c r="F8" s="491" t="s">
        <v>2114</v>
      </c>
      <c r="G8" s="491" t="s">
        <v>2117</v>
      </c>
      <c r="H8" s="505">
        <f>'Cover Page'!M38</f>
        <v>0</v>
      </c>
      <c r="J8" s="350">
        <v>23</v>
      </c>
      <c r="K8" s="61" t="s">
        <v>68</v>
      </c>
      <c r="L8" s="245"/>
      <c r="M8" s="246"/>
      <c r="N8" s="261">
        <f t="shared" si="1"/>
        <v>8.5959885386819479E-2</v>
      </c>
      <c r="O8" s="257">
        <f t="shared" si="2"/>
        <v>45000</v>
      </c>
      <c r="P8" s="260">
        <v>523500</v>
      </c>
      <c r="Q8" s="51"/>
      <c r="R8" s="257">
        <f t="shared" si="3"/>
        <v>568500</v>
      </c>
      <c r="S8" s="260">
        <v>568500</v>
      </c>
      <c r="T8" s="260"/>
      <c r="U8" s="260"/>
      <c r="V8" s="260"/>
      <c r="W8" s="260"/>
      <c r="X8" s="260"/>
      <c r="Y8" s="260"/>
      <c r="Z8" s="260"/>
      <c r="AA8" s="260"/>
    </row>
    <row r="9" spans="1:27">
      <c r="A9" s="491" t="str">
        <f t="shared" ca="1" si="0"/>
        <v>UFB-3 Appropriations Summary</v>
      </c>
      <c r="B9" s="491">
        <f>ROW()</f>
        <v>9</v>
      </c>
      <c r="C9" s="491" t="str">
        <f>'Cover Page'!K6</f>
        <v>0421</v>
      </c>
      <c r="D9" s="491">
        <f>'Cover Page'!K4</f>
        <v>2020</v>
      </c>
      <c r="E9" s="491" t="s">
        <v>2031</v>
      </c>
      <c r="F9" s="491" t="s">
        <v>2114</v>
      </c>
      <c r="G9" s="491" t="s">
        <v>2118</v>
      </c>
      <c r="H9" s="505">
        <f>'Cover Page'!M38</f>
        <v>0</v>
      </c>
      <c r="J9" s="350">
        <v>25</v>
      </c>
      <c r="K9" s="63" t="s">
        <v>69</v>
      </c>
      <c r="L9" s="247">
        <v>8</v>
      </c>
      <c r="M9" s="248"/>
      <c r="N9" s="261">
        <f t="shared" si="1"/>
        <v>-0.20338154269227399</v>
      </c>
      <c r="O9" s="257">
        <f t="shared" si="2"/>
        <v>-188000</v>
      </c>
      <c r="P9" s="260">
        <v>924371</v>
      </c>
      <c r="Q9" s="51"/>
      <c r="R9" s="257">
        <f t="shared" si="3"/>
        <v>736371</v>
      </c>
      <c r="S9" s="409">
        <v>736371</v>
      </c>
      <c r="T9" s="409"/>
      <c r="U9" s="409"/>
      <c r="V9" s="409"/>
      <c r="W9" s="409"/>
      <c r="X9" s="409"/>
      <c r="Y9" s="409"/>
      <c r="Z9" s="409"/>
      <c r="AA9" s="409"/>
    </row>
    <row r="10" spans="1:27">
      <c r="A10" s="491" t="str">
        <f ca="1">MID(CELL("filename",A10),FIND("]",CELL("filename",A10))+1,256)</f>
        <v>UFB-3 Appropriations Summary</v>
      </c>
      <c r="B10" s="491">
        <f>ROW()</f>
        <v>10</v>
      </c>
      <c r="C10" s="491" t="str">
        <f>'Cover Page'!K6</f>
        <v>0421</v>
      </c>
      <c r="D10" s="491">
        <f>'Cover Page'!K4</f>
        <v>2020</v>
      </c>
      <c r="E10" s="491" t="s">
        <v>2031</v>
      </c>
      <c r="F10" s="491" t="s">
        <v>2114</v>
      </c>
      <c r="G10" s="491" t="s">
        <v>2119</v>
      </c>
      <c r="H10" s="505">
        <f>'Cover Page'!M38</f>
        <v>0</v>
      </c>
      <c r="J10" s="350">
        <v>26</v>
      </c>
      <c r="K10" s="63" t="s">
        <v>70</v>
      </c>
      <c r="L10" s="247">
        <v>9</v>
      </c>
      <c r="M10" s="248"/>
      <c r="N10" s="261">
        <f t="shared" si="1"/>
        <v>-0.14808885331198718</v>
      </c>
      <c r="O10" s="257">
        <f t="shared" si="2"/>
        <v>-74000</v>
      </c>
      <c r="P10" s="260">
        <v>499700</v>
      </c>
      <c r="Q10" s="51"/>
      <c r="R10" s="257">
        <f t="shared" si="3"/>
        <v>425700</v>
      </c>
      <c r="S10" s="409">
        <v>425700</v>
      </c>
      <c r="T10" s="409"/>
      <c r="U10" s="409"/>
      <c r="V10" s="409"/>
      <c r="W10" s="409"/>
      <c r="X10" s="409"/>
      <c r="Y10" s="409"/>
      <c r="Z10" s="409"/>
      <c r="AA10" s="409"/>
    </row>
    <row r="11" spans="1:27">
      <c r="A11" s="491" t="str">
        <f ca="1">MID(CELL("filename",A11),FIND("]",CELL("filename",A11))+1,256)</f>
        <v>UFB-3 Appropriations Summary</v>
      </c>
      <c r="B11" s="491">
        <f>ROW()</f>
        <v>11</v>
      </c>
      <c r="C11" s="491" t="str">
        <f>'Cover Page'!K6</f>
        <v>0421</v>
      </c>
      <c r="D11" s="491">
        <f>'Cover Page'!K4</f>
        <v>2020</v>
      </c>
      <c r="E11" s="491" t="s">
        <v>2031</v>
      </c>
      <c r="F11" s="491" t="s">
        <v>2114</v>
      </c>
      <c r="G11" s="491" t="s">
        <v>2120</v>
      </c>
      <c r="H11" s="505">
        <f>'Cover Page'!M38</f>
        <v>0</v>
      </c>
      <c r="J11" s="350">
        <v>27</v>
      </c>
      <c r="K11" s="63" t="s">
        <v>71</v>
      </c>
      <c r="L11" s="247"/>
      <c r="M11" s="248"/>
      <c r="N11" s="261">
        <f t="shared" si="1"/>
        <v>0</v>
      </c>
      <c r="O11" s="257">
        <f t="shared" si="2"/>
        <v>0</v>
      </c>
      <c r="P11" s="260">
        <v>18230</v>
      </c>
      <c r="Q11" s="51"/>
      <c r="R11" s="257">
        <f t="shared" si="3"/>
        <v>18230</v>
      </c>
      <c r="S11" s="409">
        <v>18230</v>
      </c>
      <c r="T11" s="409"/>
      <c r="U11" s="409"/>
      <c r="V11" s="409"/>
      <c r="W11" s="409"/>
      <c r="X11" s="409"/>
      <c r="Y11" s="409"/>
      <c r="Z11" s="409"/>
      <c r="AA11" s="409"/>
    </row>
    <row r="12" spans="1:27">
      <c r="A12" s="491" t="str">
        <f ca="1">MID(CELL("filename",A12),FIND("]",CELL("filename",A12))+1,256)</f>
        <v>UFB-3 Appropriations Summary</v>
      </c>
      <c r="B12" s="491">
        <f>ROW()</f>
        <v>12</v>
      </c>
      <c r="C12" s="491" t="str">
        <f>'Cover Page'!K6</f>
        <v>0421</v>
      </c>
      <c r="D12" s="491">
        <f>'Cover Page'!K4</f>
        <v>2020</v>
      </c>
      <c r="E12" s="491" t="s">
        <v>2031</v>
      </c>
      <c r="F12" s="491" t="s">
        <v>2114</v>
      </c>
      <c r="G12" s="491" t="s">
        <v>2121</v>
      </c>
      <c r="H12" s="505">
        <f>'Cover Page'!M38</f>
        <v>0</v>
      </c>
      <c r="J12" s="350">
        <v>28</v>
      </c>
      <c r="K12" s="63" t="s">
        <v>72</v>
      </c>
      <c r="L12" s="247"/>
      <c r="M12" s="248">
        <v>13</v>
      </c>
      <c r="N12" s="261">
        <f t="shared" si="1"/>
        <v>-0.48192771084337349</v>
      </c>
      <c r="O12" s="257">
        <f t="shared" si="2"/>
        <v>-38000</v>
      </c>
      <c r="P12" s="260">
        <v>78850</v>
      </c>
      <c r="Q12" s="51"/>
      <c r="R12" s="257">
        <f t="shared" si="3"/>
        <v>40850</v>
      </c>
      <c r="S12" s="409">
        <v>40850</v>
      </c>
      <c r="T12" s="409"/>
      <c r="U12" s="409"/>
      <c r="V12" s="409"/>
      <c r="W12" s="409"/>
      <c r="X12" s="409"/>
      <c r="Y12" s="409"/>
      <c r="Z12" s="409"/>
      <c r="AA12" s="409"/>
    </row>
    <row r="13" spans="1:27">
      <c r="A13" s="491" t="str">
        <f ca="1">MID(CELL("filename",A13),FIND("]",CELL("filename",A13))+1,256)</f>
        <v>UFB-3 Appropriations Summary</v>
      </c>
      <c r="B13" s="491">
        <f>ROW()</f>
        <v>13</v>
      </c>
      <c r="C13" s="491" t="str">
        <f>'Cover Page'!K6</f>
        <v>0421</v>
      </c>
      <c r="D13" s="491">
        <f>'Cover Page'!K4</f>
        <v>2020</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0421</v>
      </c>
      <c r="D14" s="491">
        <f>'Cover Page'!K4</f>
        <v>2020</v>
      </c>
      <c r="E14" s="491" t="s">
        <v>2031</v>
      </c>
      <c r="F14" s="491" t="s">
        <v>2114</v>
      </c>
      <c r="G14" s="491" t="s">
        <v>2123</v>
      </c>
      <c r="H14" s="505">
        <f>'Cover Page'!M38</f>
        <v>0</v>
      </c>
      <c r="J14" s="350">
        <v>30</v>
      </c>
      <c r="K14" s="63" t="s">
        <v>74</v>
      </c>
      <c r="L14" s="247"/>
      <c r="M14" s="248"/>
      <c r="N14" s="261">
        <f t="shared" si="1"/>
        <v>-0.80639808151661785</v>
      </c>
      <c r="O14" s="257">
        <f t="shared" si="2"/>
        <v>-123563.87</v>
      </c>
      <c r="P14" s="260">
        <v>153229.37</v>
      </c>
      <c r="Q14" s="51"/>
      <c r="R14" s="257">
        <f t="shared" si="3"/>
        <v>29665.5</v>
      </c>
      <c r="S14" s="409">
        <v>29665.5</v>
      </c>
      <c r="T14" s="409"/>
      <c r="U14" s="409"/>
      <c r="V14" s="409"/>
      <c r="W14" s="409"/>
      <c r="X14" s="409"/>
      <c r="Y14" s="409"/>
      <c r="Z14" s="409"/>
      <c r="AA14" s="409"/>
    </row>
    <row r="15" spans="1:27">
      <c r="A15" s="491" t="str">
        <f t="shared" ca="1" si="0"/>
        <v>UFB-3 Appropriations Summary</v>
      </c>
      <c r="B15" s="491">
        <f>ROW()</f>
        <v>15</v>
      </c>
      <c r="C15" s="491" t="str">
        <f>'Cover Page'!K7</f>
        <v>Website:</v>
      </c>
      <c r="D15" s="491">
        <f>'Cover Page'!K4</f>
        <v>2020</v>
      </c>
      <c r="E15" s="491" t="s">
        <v>2031</v>
      </c>
      <c r="F15" s="491" t="s">
        <v>2114</v>
      </c>
      <c r="G15" s="491" t="s">
        <v>2123</v>
      </c>
      <c r="H15" s="505">
        <f>'Cover Page'!M39</f>
        <v>0</v>
      </c>
      <c r="J15" s="350">
        <v>31</v>
      </c>
      <c r="K15" s="63" t="s">
        <v>75</v>
      </c>
      <c r="L15" s="247"/>
      <c r="M15" s="248"/>
      <c r="N15" s="261">
        <f t="shared" si="1"/>
        <v>1.7480789662243964E-3</v>
      </c>
      <c r="O15" s="257">
        <f t="shared" ref="O15" si="4">(R15-P15)</f>
        <v>566</v>
      </c>
      <c r="P15" s="260">
        <v>323784</v>
      </c>
      <c r="Q15" s="51"/>
      <c r="R15" s="257">
        <f t="shared" si="3"/>
        <v>324350</v>
      </c>
      <c r="S15" s="409">
        <v>324350</v>
      </c>
      <c r="T15" s="409"/>
      <c r="U15" s="409"/>
      <c r="V15" s="409"/>
      <c r="W15" s="409"/>
      <c r="X15" s="409"/>
      <c r="Y15" s="409"/>
      <c r="Z15" s="409"/>
      <c r="AA15" s="409"/>
    </row>
    <row r="16" spans="1:27">
      <c r="A16" s="491" t="str">
        <f t="shared" ca="1" si="0"/>
        <v>UFB-3 Appropriations Summary</v>
      </c>
      <c r="B16" s="491">
        <f>ROW()</f>
        <v>16</v>
      </c>
      <c r="C16" s="491" t="str">
        <f>'Cover Page'!K6</f>
        <v>0421</v>
      </c>
      <c r="D16" s="491">
        <f>'Cover Page'!K4</f>
        <v>2020</v>
      </c>
      <c r="E16" s="491" t="s">
        <v>2031</v>
      </c>
      <c r="F16" s="491" t="s">
        <v>2114</v>
      </c>
      <c r="G16" s="491" t="s">
        <v>2124</v>
      </c>
      <c r="H16" s="505">
        <f>'Cover Page'!M38</f>
        <v>0</v>
      </c>
      <c r="J16" s="350">
        <v>32</v>
      </c>
      <c r="K16" s="556" t="s">
        <v>2283</v>
      </c>
      <c r="L16" s="247"/>
      <c r="M16" s="248"/>
      <c r="N16" s="261">
        <f t="shared" si="1"/>
        <v>0</v>
      </c>
      <c r="O16" s="257">
        <f t="shared" si="2"/>
        <v>0</v>
      </c>
      <c r="P16" s="260">
        <v>189000</v>
      </c>
      <c r="Q16" s="51"/>
      <c r="R16" s="257">
        <f t="shared" si="3"/>
        <v>189000</v>
      </c>
      <c r="S16" s="409">
        <v>189000</v>
      </c>
      <c r="T16" s="409"/>
      <c r="U16" s="409"/>
      <c r="V16" s="409"/>
      <c r="W16" s="409"/>
      <c r="X16" s="409"/>
      <c r="Y16" s="409"/>
      <c r="Z16" s="409"/>
      <c r="AA16" s="409"/>
    </row>
    <row r="17" spans="1:27">
      <c r="A17" s="491" t="str">
        <f t="shared" ca="1" si="0"/>
        <v>UFB-3 Appropriations Summary</v>
      </c>
      <c r="B17" s="491">
        <f>ROW()</f>
        <v>17</v>
      </c>
      <c r="C17" s="491" t="str">
        <f>'Cover Page'!K6</f>
        <v>0421</v>
      </c>
      <c r="D17" s="491">
        <f>'Cover Page'!K4</f>
        <v>2020</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0421</v>
      </c>
      <c r="D18" s="491">
        <f>'Cover Page'!K4</f>
        <v>2020</v>
      </c>
      <c r="E18" s="491" t="s">
        <v>2031</v>
      </c>
      <c r="F18" s="491" t="s">
        <v>2114</v>
      </c>
      <c r="G18" s="491" t="s">
        <v>2126</v>
      </c>
      <c r="H18" s="505">
        <f>'Cover Page'!M38</f>
        <v>0</v>
      </c>
      <c r="J18" s="350">
        <v>36</v>
      </c>
      <c r="K18" s="63" t="s">
        <v>77</v>
      </c>
      <c r="L18" s="247"/>
      <c r="M18" s="248"/>
      <c r="N18" s="261">
        <f t="shared" si="1"/>
        <v>8.950767289180081E-2</v>
      </c>
      <c r="O18" s="257">
        <f t="shared" si="2"/>
        <v>33334</v>
      </c>
      <c r="P18" s="260">
        <v>372415</v>
      </c>
      <c r="Q18" s="51"/>
      <c r="R18" s="257">
        <f t="shared" si="3"/>
        <v>405749</v>
      </c>
      <c r="S18" s="409">
        <v>405749</v>
      </c>
      <c r="T18" s="409"/>
      <c r="U18" s="409"/>
      <c r="V18" s="409"/>
      <c r="W18" s="409"/>
      <c r="X18" s="409"/>
      <c r="Y18" s="409"/>
      <c r="Z18" s="409"/>
      <c r="AA18" s="409"/>
    </row>
    <row r="19" spans="1:27">
      <c r="A19" s="491" t="str">
        <f t="shared" ca="1" si="0"/>
        <v>UFB-3 Appropriations Summary</v>
      </c>
      <c r="B19" s="491">
        <f>ROW()</f>
        <v>19</v>
      </c>
      <c r="C19" s="491" t="str">
        <f>'Cover Page'!K6</f>
        <v>0421</v>
      </c>
      <c r="D19" s="491">
        <f>'Cover Page'!K4</f>
        <v>2020</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0421</v>
      </c>
      <c r="D20" s="491">
        <f>'Cover Page'!K4</f>
        <v>2020</v>
      </c>
      <c r="E20" s="491" t="s">
        <v>2031</v>
      </c>
      <c r="F20" s="491" t="s">
        <v>2114</v>
      </c>
      <c r="G20" s="491" t="s">
        <v>2128</v>
      </c>
      <c r="H20" s="505">
        <f>'Cover Page'!M38</f>
        <v>0</v>
      </c>
      <c r="J20" s="350">
        <v>42</v>
      </c>
      <c r="K20" s="64" t="s">
        <v>79</v>
      </c>
      <c r="L20" s="247"/>
      <c r="M20" s="248"/>
      <c r="N20" s="261">
        <f t="shared" si="1"/>
        <v>-0.8</v>
      </c>
      <c r="O20" s="257">
        <f t="shared" si="2"/>
        <v>-8000</v>
      </c>
      <c r="P20" s="260">
        <v>10000</v>
      </c>
      <c r="Q20" s="51"/>
      <c r="R20" s="257">
        <f t="shared" si="3"/>
        <v>2000</v>
      </c>
      <c r="S20" s="410">
        <v>2000</v>
      </c>
      <c r="T20" s="410"/>
      <c r="U20" s="410"/>
      <c r="V20" s="410"/>
      <c r="W20" s="410"/>
      <c r="X20" s="410"/>
      <c r="Y20" s="410"/>
      <c r="Z20" s="410"/>
      <c r="AA20" s="410"/>
    </row>
    <row r="21" spans="1:27">
      <c r="A21" s="491" t="str">
        <f t="shared" ca="1" si="0"/>
        <v>UFB-3 Appropriations Summary</v>
      </c>
      <c r="B21" s="491">
        <f>ROW()</f>
        <v>21</v>
      </c>
      <c r="C21" s="491" t="str">
        <f>'Cover Page'!K6</f>
        <v>0421</v>
      </c>
      <c r="D21" s="491">
        <f>'Cover Page'!K4</f>
        <v>2020</v>
      </c>
      <c r="E21" s="491" t="s">
        <v>2031</v>
      </c>
      <c r="F21" s="491" t="s">
        <v>2114</v>
      </c>
      <c r="G21" s="491" t="s">
        <v>2129</v>
      </c>
      <c r="H21" s="505">
        <f>'Cover Page'!M38</f>
        <v>0</v>
      </c>
      <c r="J21" s="350">
        <v>43</v>
      </c>
      <c r="K21" s="64" t="s">
        <v>80</v>
      </c>
      <c r="L21" s="247">
        <v>2</v>
      </c>
      <c r="M21" s="248">
        <v>2</v>
      </c>
      <c r="N21" s="261">
        <f t="shared" si="1"/>
        <v>0</v>
      </c>
      <c r="O21" s="257">
        <f t="shared" si="2"/>
        <v>0</v>
      </c>
      <c r="P21" s="260">
        <v>155590</v>
      </c>
      <c r="Q21" s="51"/>
      <c r="R21" s="257">
        <f t="shared" si="3"/>
        <v>155590</v>
      </c>
      <c r="S21" s="410">
        <v>155590</v>
      </c>
      <c r="T21" s="410"/>
      <c r="U21" s="410"/>
      <c r="V21" s="410"/>
      <c r="W21" s="410"/>
      <c r="X21" s="410"/>
      <c r="Y21" s="410"/>
      <c r="Z21" s="410"/>
      <c r="AA21" s="410"/>
    </row>
    <row r="22" spans="1:27">
      <c r="A22" s="491" t="str">
        <f t="shared" ca="1" si="0"/>
        <v>UFB-3 Appropriations Summary</v>
      </c>
      <c r="B22" s="491">
        <f>ROW()</f>
        <v>22</v>
      </c>
      <c r="C22" s="491" t="str">
        <f>'Cover Page'!K6</f>
        <v>0421</v>
      </c>
      <c r="D22" s="491">
        <f>'Cover Page'!K4</f>
        <v>2020</v>
      </c>
      <c r="E22" s="491" t="s">
        <v>2031</v>
      </c>
      <c r="F22" s="491" t="s">
        <v>2114</v>
      </c>
      <c r="G22" s="491" t="s">
        <v>2130</v>
      </c>
      <c r="H22" s="505">
        <f>'Cover Page'!M38</f>
        <v>0</v>
      </c>
      <c r="J22" s="350">
        <v>44</v>
      </c>
      <c r="K22" s="64" t="s">
        <v>81</v>
      </c>
      <c r="L22" s="247"/>
      <c r="M22" s="248"/>
      <c r="N22" s="261">
        <f t="shared" si="1"/>
        <v>-1</v>
      </c>
      <c r="O22" s="257">
        <f t="shared" si="2"/>
        <v>-15000</v>
      </c>
      <c r="P22" s="260">
        <v>15000</v>
      </c>
      <c r="Q22" s="51"/>
      <c r="R22" s="257">
        <f t="shared" si="3"/>
        <v>0</v>
      </c>
      <c r="S22" s="410"/>
      <c r="T22" s="410"/>
      <c r="U22" s="410"/>
      <c r="V22" s="410"/>
      <c r="W22" s="410"/>
      <c r="X22" s="410"/>
      <c r="Y22" s="410"/>
      <c r="Z22" s="410"/>
      <c r="AA22" s="410"/>
    </row>
    <row r="23" spans="1:27">
      <c r="A23" s="491" t="str">
        <f t="shared" ca="1" si="0"/>
        <v>UFB-3 Appropriations Summary</v>
      </c>
      <c r="B23" s="491">
        <f>ROW()</f>
        <v>23</v>
      </c>
      <c r="C23" s="491" t="str">
        <f>'Cover Page'!K6</f>
        <v>0421</v>
      </c>
      <c r="D23" s="491">
        <f>'Cover Page'!K4</f>
        <v>2020</v>
      </c>
      <c r="E23" s="491" t="s">
        <v>2031</v>
      </c>
      <c r="F23" s="491" t="s">
        <v>2114</v>
      </c>
      <c r="G23" s="491" t="s">
        <v>2131</v>
      </c>
      <c r="H23" s="505">
        <f>'Cover Page'!M38</f>
        <v>0</v>
      </c>
      <c r="J23" s="350">
        <v>45</v>
      </c>
      <c r="K23" s="64" t="s">
        <v>82</v>
      </c>
      <c r="L23" s="247"/>
      <c r="M23" s="248"/>
      <c r="N23" s="261">
        <f t="shared" si="1"/>
        <v>3.5625</v>
      </c>
      <c r="O23" s="257">
        <f t="shared" si="2"/>
        <v>199500</v>
      </c>
      <c r="P23" s="260">
        <f>40000+16000</f>
        <v>56000</v>
      </c>
      <c r="Q23" s="51"/>
      <c r="R23" s="257">
        <f t="shared" si="3"/>
        <v>255500</v>
      </c>
      <c r="S23" s="410">
        <v>185500</v>
      </c>
      <c r="T23" s="410"/>
      <c r="U23" s="410"/>
      <c r="V23" s="410">
        <v>70000</v>
      </c>
      <c r="W23" s="410"/>
      <c r="X23" s="410"/>
      <c r="Y23" s="410"/>
      <c r="Z23" s="410"/>
      <c r="AA23" s="410"/>
    </row>
    <row r="24" spans="1:27">
      <c r="A24" s="491" t="str">
        <f t="shared" ca="1" si="0"/>
        <v>UFB-3 Appropriations Summary</v>
      </c>
      <c r="B24" s="491">
        <f>ROW()</f>
        <v>24</v>
      </c>
      <c r="C24" s="491" t="str">
        <f>'Cover Page'!K6</f>
        <v>0421</v>
      </c>
      <c r="D24" s="491">
        <f>'Cover Page'!K4</f>
        <v>2020</v>
      </c>
      <c r="E24" s="491" t="s">
        <v>2031</v>
      </c>
      <c r="F24" s="491" t="s">
        <v>2114</v>
      </c>
      <c r="G24" s="491" t="s">
        <v>2132</v>
      </c>
      <c r="H24" s="505">
        <f>'Cover Page'!M38</f>
        <v>0</v>
      </c>
      <c r="J24" s="350">
        <v>46</v>
      </c>
      <c r="K24" s="64" t="s">
        <v>83</v>
      </c>
      <c r="L24" s="247"/>
      <c r="M24" s="248"/>
      <c r="N24" s="261">
        <f t="shared" si="1"/>
        <v>5.0690744847717593</v>
      </c>
      <c r="O24" s="257">
        <f t="shared" si="2"/>
        <v>331055.78000000003</v>
      </c>
      <c r="P24" s="260">
        <f>39808.92+25500</f>
        <v>65308.92</v>
      </c>
      <c r="Q24" s="51"/>
      <c r="R24" s="257">
        <f t="shared" si="3"/>
        <v>396364.7</v>
      </c>
      <c r="S24" s="410">
        <v>370364.7</v>
      </c>
      <c r="T24" s="410"/>
      <c r="U24" s="410"/>
      <c r="V24" s="410">
        <v>26000</v>
      </c>
      <c r="W24" s="410"/>
      <c r="X24" s="410"/>
      <c r="Y24" s="410"/>
      <c r="Z24" s="410"/>
      <c r="AA24" s="410"/>
    </row>
    <row r="25" spans="1:27">
      <c r="A25" s="491" t="str">
        <f t="shared" ca="1" si="0"/>
        <v>UFB-3 Appropriations Summary</v>
      </c>
      <c r="B25" s="491">
        <f>ROW()</f>
        <v>25</v>
      </c>
      <c r="C25" s="491" t="str">
        <f>'Cover Page'!K6</f>
        <v>0421</v>
      </c>
      <c r="D25" s="491">
        <f>'Cover Page'!K4</f>
        <v>2020</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0421</v>
      </c>
      <c r="D26" s="491">
        <f>'Cover Page'!K4</f>
        <v>2020</v>
      </c>
      <c r="E26" s="491" t="s">
        <v>2031</v>
      </c>
      <c r="F26" s="491" t="s">
        <v>2114</v>
      </c>
      <c r="G26" s="491" t="s">
        <v>2096</v>
      </c>
      <c r="H26" s="505">
        <f>'Cover Page'!M38</f>
        <v>0</v>
      </c>
      <c r="J26" s="351">
        <v>50</v>
      </c>
      <c r="K26" s="64" t="s">
        <v>85</v>
      </c>
      <c r="L26" s="464"/>
      <c r="M26" s="465"/>
      <c r="N26" s="466">
        <f t="shared" si="1"/>
        <v>2.8464202931788356E-2</v>
      </c>
      <c r="O26" s="461">
        <f t="shared" si="2"/>
        <v>17608.090000000084</v>
      </c>
      <c r="P26" s="459">
        <v>618604.71</v>
      </c>
      <c r="Q26" s="460"/>
      <c r="R26" s="461">
        <f t="shared" si="3"/>
        <v>636212.80000000005</v>
      </c>
      <c r="S26" s="457">
        <v>636212.80000000005</v>
      </c>
      <c r="T26" s="457"/>
      <c r="U26" s="457"/>
      <c r="V26" s="457"/>
      <c r="W26" s="457"/>
      <c r="X26" s="457"/>
      <c r="Y26" s="457"/>
      <c r="Z26" s="457"/>
      <c r="AA26" s="457"/>
    </row>
    <row r="27" spans="1:27" ht="16.5" thickBot="1">
      <c r="A27" s="491" t="str">
        <f t="shared" ca="1" si="0"/>
        <v>UFB-3 Appropriations Summary</v>
      </c>
      <c r="B27" s="491">
        <f>ROW()</f>
        <v>27</v>
      </c>
      <c r="C27" s="491" t="str">
        <f>'Cover Page'!K6</f>
        <v>0421</v>
      </c>
      <c r="D27" s="491">
        <f>'Cover Page'!K4</f>
        <v>2020</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7.25" thickTop="1" thickBot="1">
      <c r="A28" s="491" t="str">
        <f t="shared" ca="1" si="0"/>
        <v>UFB-3 Appropriations Summary</v>
      </c>
      <c r="B28" s="491">
        <f>ROW()</f>
        <v>28</v>
      </c>
      <c r="C28" s="491" t="str">
        <f>'Cover Page'!K6</f>
        <v>0421</v>
      </c>
      <c r="D28" s="491">
        <f>'Cover Page'!K4</f>
        <v>2020</v>
      </c>
      <c r="E28" s="491" t="s">
        <v>2031</v>
      </c>
      <c r="F28" s="491" t="s">
        <v>2114</v>
      </c>
      <c r="G28" s="491" t="s">
        <v>2135</v>
      </c>
      <c r="H28" s="505">
        <f>'Cover Page'!M38</f>
        <v>0</v>
      </c>
      <c r="J28" s="352"/>
      <c r="K28" s="65" t="s">
        <v>97</v>
      </c>
      <c r="L28" s="249">
        <f>SUM(L5:L27)</f>
        <v>26</v>
      </c>
      <c r="M28" s="250">
        <f>SUM(M5:M27)</f>
        <v>24</v>
      </c>
      <c r="N28" s="254">
        <f t="shared" si="1"/>
        <v>3.9344262295081971E-2</v>
      </c>
      <c r="O28" s="259">
        <f t="shared" si="2"/>
        <v>204000</v>
      </c>
      <c r="P28" s="259">
        <f>SUM(P5:P27)</f>
        <v>5185000</v>
      </c>
      <c r="Q28" s="52"/>
      <c r="R28" s="259">
        <f>SUM(R5:R27)</f>
        <v>5389000</v>
      </c>
      <c r="S28" s="259">
        <f t="shared" ref="S28:AA28" si="5">SUM(S5:S27)</f>
        <v>5017000</v>
      </c>
      <c r="T28" s="259">
        <f t="shared" si="5"/>
        <v>0</v>
      </c>
      <c r="U28" s="259">
        <f t="shared" si="5"/>
        <v>0</v>
      </c>
      <c r="V28" s="259">
        <f t="shared" si="5"/>
        <v>372000</v>
      </c>
      <c r="W28" s="259">
        <f t="shared" si="5"/>
        <v>0</v>
      </c>
      <c r="X28" s="637">
        <f t="shared" si="5"/>
        <v>0</v>
      </c>
      <c r="Y28" s="637">
        <f t="shared" si="5"/>
        <v>0</v>
      </c>
      <c r="Z28" s="637">
        <f t="shared" si="5"/>
        <v>0</v>
      </c>
      <c r="AA28" s="637">
        <f t="shared" si="5"/>
        <v>0</v>
      </c>
    </row>
    <row r="29" spans="1:27" ht="16.5" thickTop="1">
      <c r="A29" s="491"/>
      <c r="B29" s="491"/>
      <c r="C29" s="491"/>
      <c r="D29" s="491"/>
      <c r="E29" s="491"/>
      <c r="F29" s="491"/>
      <c r="G29" s="491"/>
      <c r="H29" s="494"/>
      <c r="J29" s="66"/>
      <c r="K29" s="698" t="s">
        <v>86</v>
      </c>
      <c r="L29" s="698"/>
      <c r="M29" s="698"/>
      <c r="N29" s="698"/>
      <c r="O29" s="698"/>
      <c r="P29" s="698"/>
      <c r="Q29" s="698"/>
      <c r="R29" s="698"/>
      <c r="S29" s="698"/>
      <c r="T29" s="698"/>
      <c r="U29" s="698"/>
      <c r="V29" s="698"/>
      <c r="W29" s="69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U26EfVi+hF3DO28iOaUR9bhOgflWkbbyqFZnocWKRedsg4al2FniEXykA3INuuVD9Kp07wT3dCXWc7TBN0jUfw==" saltValue="7Ylk4RJidl9KFFv8lFodtg=="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49"/>
  <sheetViews>
    <sheetView topLeftCell="J1" workbookViewId="0">
      <selection activeCell="N6" sqref="N6"/>
    </sheetView>
  </sheetViews>
  <sheetFormatPr defaultColWidth="10" defaultRowHeight="15.75"/>
  <cols>
    <col min="1" max="9" width="10" style="67" hidden="1" customWidth="1"/>
    <col min="10" max="13" width="6.5703125" style="84" customWidth="1"/>
    <col min="14" max="14" width="55.7109375" style="67" customWidth="1"/>
    <col min="15" max="15" width="14.5703125" style="85" customWidth="1"/>
    <col min="16" max="16" width="79.42578125" style="86" customWidth="1"/>
    <col min="17" max="16384" width="10" style="67"/>
  </cols>
  <sheetData>
    <row r="1" spans="1:16" ht="18.75">
      <c r="A1" s="491" t="str">
        <f ca="1">MID(CELL("filename",A2),FIND("]",CELL("filename",A2))+1,256)</f>
        <v>UFB-4 Structural Imbalances</v>
      </c>
      <c r="B1" s="491">
        <f>ROW()</f>
        <v>1</v>
      </c>
      <c r="C1" s="491" t="str">
        <f>'Cover Page'!K6</f>
        <v>0421</v>
      </c>
      <c r="D1" s="491">
        <f>'Cover Page'!K4</f>
        <v>2020</v>
      </c>
      <c r="E1" s="491" t="s">
        <v>2031</v>
      </c>
      <c r="F1" s="491" t="s">
        <v>2137</v>
      </c>
      <c r="G1" s="491"/>
      <c r="H1" s="505">
        <f>'Cover Page'!M38</f>
        <v>0</v>
      </c>
      <c r="J1" s="685" t="s">
        <v>0</v>
      </c>
      <c r="K1" s="685"/>
      <c r="L1" s="685"/>
      <c r="M1" s="685"/>
      <c r="N1" s="685"/>
      <c r="O1" s="685"/>
      <c r="P1" s="685"/>
    </row>
    <row r="2" spans="1:16" s="68" customFormat="1" ht="19.5" thickBot="1">
      <c r="A2" s="491" t="str">
        <f ca="1">MID(CELL("filename",A2),FIND("]",CELL("filename",A2))+1,256)</f>
        <v>UFB-4 Structural Imbalances</v>
      </c>
      <c r="B2" s="491">
        <f>ROW()</f>
        <v>2</v>
      </c>
      <c r="C2" s="491" t="str">
        <f>'Cover Page'!K6</f>
        <v>0421</v>
      </c>
      <c r="D2" s="491">
        <f>'Cover Page'!K4</f>
        <v>2020</v>
      </c>
      <c r="E2" s="491" t="s">
        <v>2031</v>
      </c>
      <c r="F2" s="491" t="s">
        <v>2137</v>
      </c>
      <c r="G2" s="491" t="s">
        <v>121</v>
      </c>
      <c r="H2" s="505">
        <f>'Cover Page'!M38</f>
        <v>0</v>
      </c>
      <c r="J2" s="704" t="s">
        <v>87</v>
      </c>
      <c r="K2" s="704"/>
      <c r="L2" s="704"/>
      <c r="M2" s="704"/>
      <c r="N2" s="704"/>
      <c r="O2" s="704"/>
      <c r="P2" s="704"/>
    </row>
    <row r="3" spans="1:16" ht="162" thickTop="1" thickBot="1">
      <c r="A3" s="491" t="str">
        <f t="shared" ref="A3:A25" ca="1" si="0">MID(CELL("filename",A3),FIND("]",CELL("filename",A3))+1,256)</f>
        <v>UFB-4 Structural Imbalances</v>
      </c>
      <c r="B3" s="491">
        <f>ROW()</f>
        <v>3</v>
      </c>
      <c r="C3" s="491" t="str">
        <f>'Cover Page'!K6</f>
        <v>0421</v>
      </c>
      <c r="D3" s="491">
        <f>'Cover Page'!K4</f>
        <v>2020</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0421</v>
      </c>
      <c r="D4" s="491">
        <f>'Cover Page'!K4</f>
        <v>2020</v>
      </c>
      <c r="E4" s="491" t="s">
        <v>2031</v>
      </c>
      <c r="F4" s="491" t="s">
        <v>2137</v>
      </c>
      <c r="G4" s="491" t="s">
        <v>2138</v>
      </c>
      <c r="H4" s="505">
        <f>'Cover Page'!M38</f>
        <v>0</v>
      </c>
      <c r="J4" s="73"/>
      <c r="K4" s="74"/>
      <c r="L4" s="74"/>
      <c r="M4" s="74"/>
      <c r="N4" s="75"/>
      <c r="O4" s="262"/>
      <c r="P4" s="651"/>
    </row>
    <row r="5" spans="1:16" ht="20.25">
      <c r="A5" s="491" t="str">
        <f t="shared" ca="1" si="0"/>
        <v>UFB-4 Structural Imbalances</v>
      </c>
      <c r="B5" s="491">
        <f>ROW()</f>
        <v>5</v>
      </c>
      <c r="C5" s="491" t="str">
        <f>'Cover Page'!K6</f>
        <v>0421</v>
      </c>
      <c r="D5" s="491">
        <f>'Cover Page'!K4</f>
        <v>2020</v>
      </c>
      <c r="E5" s="491" t="s">
        <v>2031</v>
      </c>
      <c r="F5" s="491" t="s">
        <v>2137</v>
      </c>
      <c r="G5" s="491" t="s">
        <v>2138</v>
      </c>
      <c r="H5" s="505">
        <f>'Cover Page'!M38</f>
        <v>0</v>
      </c>
      <c r="J5" s="76"/>
      <c r="K5" s="77"/>
      <c r="L5" s="77"/>
      <c r="M5" s="77"/>
      <c r="N5" s="78" t="s">
        <v>2338</v>
      </c>
      <c r="O5" s="263"/>
      <c r="P5" s="652"/>
    </row>
    <row r="6" spans="1:16" ht="20.25">
      <c r="A6" s="491" t="str">
        <f t="shared" ca="1" si="0"/>
        <v>UFB-4 Structural Imbalances</v>
      </c>
      <c r="B6" s="491">
        <f>ROW()</f>
        <v>6</v>
      </c>
      <c r="C6" s="491" t="str">
        <f>'Cover Page'!K6</f>
        <v>0421</v>
      </c>
      <c r="D6" s="491">
        <f>'Cover Page'!K4</f>
        <v>2020</v>
      </c>
      <c r="E6" s="491" t="s">
        <v>2031</v>
      </c>
      <c r="F6" s="491" t="s">
        <v>2137</v>
      </c>
      <c r="G6" s="491" t="s">
        <v>2138</v>
      </c>
      <c r="H6" s="505">
        <f>'Cover Page'!M28</f>
        <v>44196</v>
      </c>
      <c r="J6" s="76"/>
      <c r="K6" s="77"/>
      <c r="L6" s="77"/>
      <c r="M6" s="77"/>
      <c r="N6" s="78"/>
      <c r="O6" s="263"/>
      <c r="P6" s="652"/>
    </row>
    <row r="7" spans="1:16" ht="20.25">
      <c r="A7" s="491" t="str">
        <f t="shared" ca="1" si="0"/>
        <v>UFB-4 Structural Imbalances</v>
      </c>
      <c r="B7" s="491">
        <f>ROW()</f>
        <v>7</v>
      </c>
      <c r="C7" s="491" t="str">
        <f>'Cover Page'!K6</f>
        <v>0421</v>
      </c>
      <c r="D7" s="491">
        <f>'Cover Page'!K4</f>
        <v>2020</v>
      </c>
      <c r="E7" s="491" t="s">
        <v>2031</v>
      </c>
      <c r="F7" s="491" t="s">
        <v>2137</v>
      </c>
      <c r="G7" s="491" t="s">
        <v>2138</v>
      </c>
      <c r="H7" s="505">
        <f>'Cover Page'!M28</f>
        <v>44196</v>
      </c>
      <c r="J7" s="76"/>
      <c r="K7" s="77"/>
      <c r="L7" s="77"/>
      <c r="M7" s="77"/>
      <c r="N7" s="78"/>
      <c r="O7" s="263"/>
      <c r="P7" s="652"/>
    </row>
    <row r="8" spans="1:16" ht="20.25">
      <c r="A8" s="491" t="str">
        <f t="shared" ca="1" si="0"/>
        <v>UFB-4 Structural Imbalances</v>
      </c>
      <c r="B8" s="491">
        <f>ROW()</f>
        <v>8</v>
      </c>
      <c r="C8" s="491" t="str">
        <f>'Cover Page'!K6</f>
        <v>0421</v>
      </c>
      <c r="D8" s="491">
        <f>'Cover Page'!K4</f>
        <v>2020</v>
      </c>
      <c r="E8" s="491" t="s">
        <v>2031</v>
      </c>
      <c r="F8" s="491" t="s">
        <v>2137</v>
      </c>
      <c r="G8" s="491" t="s">
        <v>2138</v>
      </c>
      <c r="H8" s="505">
        <f>'Cover Page'!M28</f>
        <v>44196</v>
      </c>
      <c r="J8" s="76"/>
      <c r="K8" s="77"/>
      <c r="L8" s="77"/>
      <c r="M8" s="77"/>
      <c r="N8" s="78"/>
      <c r="O8" s="263"/>
      <c r="P8" s="652"/>
    </row>
    <row r="9" spans="1:16" ht="20.25">
      <c r="A9" s="491" t="str">
        <f t="shared" ca="1" si="0"/>
        <v>UFB-4 Structural Imbalances</v>
      </c>
      <c r="B9" s="491">
        <f>ROW()</f>
        <v>9</v>
      </c>
      <c r="C9" s="491" t="str">
        <f>'Cover Page'!K6</f>
        <v>0421</v>
      </c>
      <c r="D9" s="491">
        <f>'Cover Page'!K4</f>
        <v>2020</v>
      </c>
      <c r="E9" s="491" t="s">
        <v>2031</v>
      </c>
      <c r="F9" s="491" t="s">
        <v>2137</v>
      </c>
      <c r="G9" s="491" t="s">
        <v>2138</v>
      </c>
      <c r="H9" s="505">
        <f>'Cover Page'!M28</f>
        <v>44196</v>
      </c>
      <c r="J9" s="76"/>
      <c r="K9" s="77"/>
      <c r="L9" s="77"/>
      <c r="M9" s="77"/>
      <c r="N9" s="78"/>
      <c r="O9" s="263"/>
      <c r="P9" s="652"/>
    </row>
    <row r="10" spans="1:16" ht="20.25">
      <c r="A10" s="491" t="str">
        <f ca="1">MID(CELL("filename",A10),FIND("]",CELL("filename",A10))+1,256)</f>
        <v>UFB-4 Structural Imbalances</v>
      </c>
      <c r="B10" s="491">
        <f>ROW()</f>
        <v>10</v>
      </c>
      <c r="C10" s="491" t="str">
        <f>'Cover Page'!K6</f>
        <v>0421</v>
      </c>
      <c r="D10" s="491">
        <f>'Cover Page'!K4</f>
        <v>2020</v>
      </c>
      <c r="E10" s="491" t="s">
        <v>2031</v>
      </c>
      <c r="F10" s="491" t="s">
        <v>2137</v>
      </c>
      <c r="G10" s="491" t="s">
        <v>2138</v>
      </c>
      <c r="H10" s="505">
        <f>'Cover Page'!M28</f>
        <v>44196</v>
      </c>
      <c r="J10" s="76"/>
      <c r="K10" s="77"/>
      <c r="L10" s="77"/>
      <c r="M10" s="77"/>
      <c r="N10" s="78"/>
      <c r="O10" s="263"/>
      <c r="P10" s="652"/>
    </row>
    <row r="11" spans="1:16" ht="20.25">
      <c r="A11" s="491" t="str">
        <f ca="1">MID(CELL("filename",A11),FIND("]",CELL("filename",A11))+1,256)</f>
        <v>UFB-4 Structural Imbalances</v>
      </c>
      <c r="B11" s="491">
        <f>ROW()</f>
        <v>11</v>
      </c>
      <c r="C11" s="491" t="str">
        <f>'Cover Page'!K6</f>
        <v>0421</v>
      </c>
      <c r="D11" s="491">
        <f>'Cover Page'!K4</f>
        <v>2020</v>
      </c>
      <c r="E11" s="491" t="s">
        <v>2031</v>
      </c>
      <c r="F11" s="491" t="s">
        <v>2137</v>
      </c>
      <c r="G11" s="491" t="s">
        <v>2138</v>
      </c>
      <c r="H11" s="505">
        <f>'Cover Page'!M28</f>
        <v>44196</v>
      </c>
      <c r="J11" s="76"/>
      <c r="K11" s="77"/>
      <c r="L11" s="77"/>
      <c r="M11" s="77"/>
      <c r="N11" s="78"/>
      <c r="O11" s="263"/>
      <c r="P11" s="652"/>
    </row>
    <row r="12" spans="1:16" ht="20.25">
      <c r="A12" s="491" t="str">
        <f ca="1">MID(CELL("filename",A12),FIND("]",CELL("filename",A12))+1,256)</f>
        <v>UFB-4 Structural Imbalances</v>
      </c>
      <c r="B12" s="491">
        <f>ROW()</f>
        <v>12</v>
      </c>
      <c r="C12" s="491" t="str">
        <f>'Cover Page'!K6</f>
        <v>0421</v>
      </c>
      <c r="D12" s="491">
        <f>'Cover Page'!K4</f>
        <v>2020</v>
      </c>
      <c r="E12" s="491" t="s">
        <v>2031</v>
      </c>
      <c r="F12" s="491" t="s">
        <v>2137</v>
      </c>
      <c r="G12" s="491" t="s">
        <v>2138</v>
      </c>
      <c r="H12" s="505">
        <f>'Cover Page'!M28</f>
        <v>44196</v>
      </c>
      <c r="J12" s="76"/>
      <c r="K12" s="77"/>
      <c r="L12" s="77"/>
      <c r="M12" s="77"/>
      <c r="N12" s="78"/>
      <c r="O12" s="263"/>
      <c r="P12" s="652"/>
    </row>
    <row r="13" spans="1:16" ht="20.25">
      <c r="A13" s="491" t="str">
        <f ca="1">MID(CELL("filename",A13),FIND("]",CELL("filename",A13))+1,256)</f>
        <v>UFB-4 Structural Imbalances</v>
      </c>
      <c r="B13" s="491">
        <f>ROW()</f>
        <v>13</v>
      </c>
      <c r="C13" s="491" t="str">
        <f>'Cover Page'!K6</f>
        <v>0421</v>
      </c>
      <c r="D13" s="491">
        <f>'Cover Page'!K4</f>
        <v>2020</v>
      </c>
      <c r="E13" s="491" t="s">
        <v>2031</v>
      </c>
      <c r="F13" s="491" t="s">
        <v>2137</v>
      </c>
      <c r="G13" s="491" t="s">
        <v>2138</v>
      </c>
      <c r="H13" s="505">
        <f>'Cover Page'!M28</f>
        <v>44196</v>
      </c>
      <c r="J13" s="76"/>
      <c r="K13" s="77"/>
      <c r="L13" s="77"/>
      <c r="M13" s="77"/>
      <c r="N13" s="78"/>
      <c r="O13" s="263"/>
      <c r="P13" s="652"/>
    </row>
    <row r="14" spans="1:16" ht="20.25">
      <c r="A14" s="491" t="str">
        <f t="shared" ca="1" si="0"/>
        <v>UFB-4 Structural Imbalances</v>
      </c>
      <c r="B14" s="491">
        <f>ROW()</f>
        <v>14</v>
      </c>
      <c r="C14" s="491" t="str">
        <f>'Cover Page'!K6</f>
        <v>0421</v>
      </c>
      <c r="D14" s="491">
        <f>'Cover Page'!K4</f>
        <v>2020</v>
      </c>
      <c r="E14" s="491" t="s">
        <v>2031</v>
      </c>
      <c r="F14" s="491" t="s">
        <v>2137</v>
      </c>
      <c r="G14" s="491" t="s">
        <v>2138</v>
      </c>
      <c r="H14" s="505">
        <f>'Cover Page'!M28</f>
        <v>44196</v>
      </c>
      <c r="J14" s="76"/>
      <c r="K14" s="77"/>
      <c r="L14" s="77"/>
      <c r="M14" s="77"/>
      <c r="N14" s="78"/>
      <c r="O14" s="263"/>
      <c r="P14" s="652"/>
    </row>
    <row r="15" spans="1:16" ht="20.25">
      <c r="A15" s="491" t="str">
        <f t="shared" ca="1" si="0"/>
        <v>UFB-4 Structural Imbalances</v>
      </c>
      <c r="B15" s="491">
        <f>ROW()</f>
        <v>15</v>
      </c>
      <c r="C15" s="491" t="str">
        <f>'Cover Page'!K6</f>
        <v>0421</v>
      </c>
      <c r="D15" s="491">
        <f>'Cover Page'!K4</f>
        <v>2020</v>
      </c>
      <c r="E15" s="491" t="s">
        <v>2031</v>
      </c>
      <c r="F15" s="491" t="s">
        <v>2137</v>
      </c>
      <c r="G15" s="491" t="s">
        <v>2138</v>
      </c>
      <c r="H15" s="505">
        <f>'Cover Page'!M28</f>
        <v>44196</v>
      </c>
      <c r="J15" s="76"/>
      <c r="K15" s="77"/>
      <c r="L15" s="77"/>
      <c r="M15" s="77"/>
      <c r="N15" s="78"/>
      <c r="O15" s="263"/>
      <c r="P15" s="652"/>
    </row>
    <row r="16" spans="1:16" ht="20.25">
      <c r="A16" s="491" t="str">
        <f t="shared" ca="1" si="0"/>
        <v>UFB-4 Structural Imbalances</v>
      </c>
      <c r="B16" s="491">
        <f>ROW()</f>
        <v>16</v>
      </c>
      <c r="C16" s="491" t="str">
        <f>'Cover Page'!K6</f>
        <v>0421</v>
      </c>
      <c r="D16" s="491">
        <f>'Cover Page'!K4</f>
        <v>2020</v>
      </c>
      <c r="E16" s="491" t="s">
        <v>2031</v>
      </c>
      <c r="F16" s="491" t="s">
        <v>2137</v>
      </c>
      <c r="G16" s="491" t="s">
        <v>2138</v>
      </c>
      <c r="H16" s="505">
        <f>'Cover Page'!M38</f>
        <v>0</v>
      </c>
      <c r="J16" s="76"/>
      <c r="K16" s="77"/>
      <c r="L16" s="77"/>
      <c r="M16" s="77"/>
      <c r="N16" s="78"/>
      <c r="O16" s="263"/>
      <c r="P16" s="652"/>
    </row>
    <row r="17" spans="1:16" ht="20.25">
      <c r="A17" s="491" t="str">
        <f t="shared" ca="1" si="0"/>
        <v>UFB-4 Structural Imbalances</v>
      </c>
      <c r="B17" s="491">
        <f>ROW()</f>
        <v>17</v>
      </c>
      <c r="C17" s="491" t="str">
        <f>'Cover Page'!K6</f>
        <v>0421</v>
      </c>
      <c r="D17" s="491">
        <f>'Cover Page'!K4</f>
        <v>2020</v>
      </c>
      <c r="E17" s="491" t="s">
        <v>2031</v>
      </c>
      <c r="F17" s="491" t="s">
        <v>2137</v>
      </c>
      <c r="G17" s="491" t="s">
        <v>2138</v>
      </c>
      <c r="H17" s="505">
        <f>'Cover Page'!M38</f>
        <v>0</v>
      </c>
      <c r="J17" s="76"/>
      <c r="K17" s="77"/>
      <c r="L17" s="77"/>
      <c r="M17" s="77"/>
      <c r="N17" s="78"/>
      <c r="O17" s="263"/>
      <c r="P17" s="652"/>
    </row>
    <row r="18" spans="1:16" ht="20.25">
      <c r="A18" s="491" t="str">
        <f t="shared" ca="1" si="0"/>
        <v>UFB-4 Structural Imbalances</v>
      </c>
      <c r="B18" s="491">
        <f>ROW()</f>
        <v>18</v>
      </c>
      <c r="C18" s="491" t="str">
        <f>'Cover Page'!K6</f>
        <v>0421</v>
      </c>
      <c r="D18" s="491">
        <f>'Cover Page'!K4</f>
        <v>2020</v>
      </c>
      <c r="E18" s="491" t="s">
        <v>2031</v>
      </c>
      <c r="F18" s="491" t="s">
        <v>2137</v>
      </c>
      <c r="G18" s="491" t="s">
        <v>2138</v>
      </c>
      <c r="H18" s="505">
        <f>'Cover Page'!M38</f>
        <v>0</v>
      </c>
      <c r="J18" s="76"/>
      <c r="K18" s="77"/>
      <c r="L18" s="77"/>
      <c r="M18" s="77"/>
      <c r="N18" s="78"/>
      <c r="O18" s="263"/>
      <c r="P18" s="652"/>
    </row>
    <row r="19" spans="1:16" ht="20.25">
      <c r="A19" s="491" t="str">
        <f t="shared" ca="1" si="0"/>
        <v>UFB-4 Structural Imbalances</v>
      </c>
      <c r="B19" s="491">
        <f>ROW()</f>
        <v>19</v>
      </c>
      <c r="C19" s="491" t="str">
        <f>'Cover Page'!K6</f>
        <v>0421</v>
      </c>
      <c r="D19" s="491">
        <f>'Cover Page'!K4</f>
        <v>2020</v>
      </c>
      <c r="E19" s="491" t="s">
        <v>2031</v>
      </c>
      <c r="F19" s="491" t="s">
        <v>2137</v>
      </c>
      <c r="G19" s="491" t="s">
        <v>2138</v>
      </c>
      <c r="H19" s="505">
        <f>'Cover Page'!M38</f>
        <v>0</v>
      </c>
      <c r="J19" s="76"/>
      <c r="K19" s="77"/>
      <c r="L19" s="77"/>
      <c r="M19" s="77"/>
      <c r="N19" s="78"/>
      <c r="O19" s="263"/>
      <c r="P19" s="652"/>
    </row>
    <row r="20" spans="1:16" ht="20.25">
      <c r="A20" s="491" t="str">
        <f ca="1">MID(CELL("filename",A20),FIND("]",CELL("filename",A20))+1,256)</f>
        <v>UFB-4 Structural Imbalances</v>
      </c>
      <c r="B20" s="491">
        <f>ROW()</f>
        <v>20</v>
      </c>
      <c r="C20" s="491" t="str">
        <f>'Cover Page'!K6</f>
        <v>0421</v>
      </c>
      <c r="D20" s="491">
        <f>'Cover Page'!K4</f>
        <v>2020</v>
      </c>
      <c r="E20" s="491" t="s">
        <v>2031</v>
      </c>
      <c r="F20" s="491" t="s">
        <v>2137</v>
      </c>
      <c r="G20" s="491" t="s">
        <v>2138</v>
      </c>
      <c r="H20" s="505">
        <f>'Cover Page'!M38</f>
        <v>0</v>
      </c>
      <c r="J20" s="76"/>
      <c r="K20" s="77"/>
      <c r="L20" s="77"/>
      <c r="M20" s="77"/>
      <c r="N20" s="78"/>
      <c r="O20" s="263"/>
      <c r="P20" s="652"/>
    </row>
    <row r="21" spans="1:16" ht="20.25">
      <c r="A21" s="491" t="str">
        <f ca="1">MID(CELL("filename",A21),FIND("]",CELL("filename",A21))+1,256)</f>
        <v>UFB-4 Structural Imbalances</v>
      </c>
      <c r="B21" s="491">
        <f>ROW()</f>
        <v>21</v>
      </c>
      <c r="C21" s="491" t="str">
        <f>'Cover Page'!K6</f>
        <v>0421</v>
      </c>
      <c r="D21" s="491">
        <f>'Cover Page'!K4</f>
        <v>2020</v>
      </c>
      <c r="E21" s="491" t="s">
        <v>2031</v>
      </c>
      <c r="F21" s="491" t="s">
        <v>2137</v>
      </c>
      <c r="G21" s="491" t="s">
        <v>2138</v>
      </c>
      <c r="H21" s="505">
        <f>'Cover Page'!M38</f>
        <v>0</v>
      </c>
      <c r="J21" s="76"/>
      <c r="K21" s="77"/>
      <c r="L21" s="77"/>
      <c r="M21" s="77"/>
      <c r="N21" s="78"/>
      <c r="O21" s="263"/>
      <c r="P21" s="652"/>
    </row>
    <row r="22" spans="1:16" ht="20.25">
      <c r="A22" s="491" t="str">
        <f ca="1">MID(CELL("filename",A22),FIND("]",CELL("filename",A22))+1,256)</f>
        <v>UFB-4 Structural Imbalances</v>
      </c>
      <c r="B22" s="491">
        <f>ROW()</f>
        <v>22</v>
      </c>
      <c r="C22" s="491" t="str">
        <f>'Cover Page'!K6</f>
        <v>0421</v>
      </c>
      <c r="D22" s="491">
        <f>'Cover Page'!K4</f>
        <v>2020</v>
      </c>
      <c r="E22" s="491" t="s">
        <v>2031</v>
      </c>
      <c r="F22" s="491" t="s">
        <v>2137</v>
      </c>
      <c r="G22" s="491" t="s">
        <v>2138</v>
      </c>
      <c r="H22" s="505">
        <f>'Cover Page'!M38</f>
        <v>0</v>
      </c>
      <c r="J22" s="76"/>
      <c r="K22" s="77"/>
      <c r="L22" s="77"/>
      <c r="M22" s="77"/>
      <c r="N22" s="78"/>
      <c r="O22" s="263"/>
      <c r="P22" s="652"/>
    </row>
    <row r="23" spans="1:16" ht="20.25">
      <c r="A23" s="491" t="str">
        <f ca="1">MID(CELL("filename",A23),FIND("]",CELL("filename",A23))+1,256)</f>
        <v>UFB-4 Structural Imbalances</v>
      </c>
      <c r="B23" s="491">
        <f>ROW()</f>
        <v>23</v>
      </c>
      <c r="C23" s="491" t="str">
        <f>'Cover Page'!K6</f>
        <v>0421</v>
      </c>
      <c r="D23" s="491">
        <f>'Cover Page'!K4</f>
        <v>2020</v>
      </c>
      <c r="E23" s="491" t="s">
        <v>2031</v>
      </c>
      <c r="F23" s="491" t="s">
        <v>2137</v>
      </c>
      <c r="G23" s="491" t="s">
        <v>2138</v>
      </c>
      <c r="H23" s="505">
        <f>'Cover Page'!M38</f>
        <v>0</v>
      </c>
      <c r="J23" s="76"/>
      <c r="K23" s="77"/>
      <c r="L23" s="77"/>
      <c r="M23" s="77"/>
      <c r="N23" s="78"/>
      <c r="O23" s="263"/>
      <c r="P23" s="652"/>
    </row>
    <row r="24" spans="1:16" ht="20.25">
      <c r="A24" s="491" t="str">
        <f t="shared" ca="1" si="0"/>
        <v>UFB-4 Structural Imbalances</v>
      </c>
      <c r="B24" s="491">
        <f>ROW()</f>
        <v>24</v>
      </c>
      <c r="C24" s="491" t="str">
        <f>'Cover Page'!K6</f>
        <v>0421</v>
      </c>
      <c r="D24" s="491">
        <f>'Cover Page'!K4</f>
        <v>2020</v>
      </c>
      <c r="E24" s="491" t="s">
        <v>2031</v>
      </c>
      <c r="F24" s="491" t="s">
        <v>2137</v>
      </c>
      <c r="G24" s="491" t="s">
        <v>2138</v>
      </c>
      <c r="H24" s="505">
        <f>'Cover Page'!M38</f>
        <v>0</v>
      </c>
      <c r="J24" s="76"/>
      <c r="K24" s="77"/>
      <c r="L24" s="77"/>
      <c r="M24" s="77"/>
      <c r="N24" s="78"/>
      <c r="O24" s="263"/>
      <c r="P24" s="652"/>
    </row>
    <row r="25" spans="1:16" ht="20.25">
      <c r="A25" s="491" t="str">
        <f t="shared" ca="1" si="0"/>
        <v>UFB-4 Structural Imbalances</v>
      </c>
      <c r="B25" s="491">
        <f>ROW()</f>
        <v>25</v>
      </c>
      <c r="C25" s="491" t="str">
        <f>'Cover Page'!K6</f>
        <v>0421</v>
      </c>
      <c r="D25" s="491">
        <f>'Cover Page'!K4</f>
        <v>2020</v>
      </c>
      <c r="E25" s="491" t="s">
        <v>2031</v>
      </c>
      <c r="F25" s="491" t="s">
        <v>2137</v>
      </c>
      <c r="G25" s="491" t="s">
        <v>2138</v>
      </c>
      <c r="H25" s="505">
        <f>'Cover Page'!M38</f>
        <v>0</v>
      </c>
      <c r="J25" s="76"/>
      <c r="K25" s="77"/>
      <c r="L25" s="77"/>
      <c r="M25" s="77"/>
      <c r="N25" s="78"/>
      <c r="O25" s="263"/>
      <c r="P25" s="652"/>
    </row>
    <row r="26" spans="1:16" s="83" customFormat="1" ht="20.25">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05" t="s">
        <v>94</v>
      </c>
      <c r="K27" s="705"/>
      <c r="L27" s="705"/>
      <c r="M27" s="705"/>
      <c r="N27" s="705"/>
      <c r="O27" s="705"/>
      <c r="P27" s="70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6"/>
  <sheetViews>
    <sheetView topLeftCell="J1" workbookViewId="0">
      <selection activeCell="T10" sqref="T10"/>
    </sheetView>
  </sheetViews>
  <sheetFormatPr defaultColWidth="10.5703125" defaultRowHeight="12.75"/>
  <cols>
    <col min="1" max="9" width="10.5703125" style="1" hidden="1" customWidth="1"/>
    <col min="10" max="10" width="5.42578125" style="41" customWidth="1"/>
    <col min="11" max="11" width="27.85546875" style="1" customWidth="1"/>
    <col min="12" max="12" width="14.5703125" style="101" customWidth="1"/>
    <col min="13" max="13" width="21.42578125" style="101" customWidth="1"/>
    <col min="14" max="14" width="14.5703125" style="1" customWidth="1"/>
    <col min="15" max="15" width="4.28515625" style="20" customWidth="1"/>
    <col min="16" max="16" width="0.85546875" style="1" customWidth="1"/>
    <col min="17" max="17" width="3.85546875" style="41" customWidth="1"/>
    <col min="18" max="18" width="20.140625" style="1" customWidth="1"/>
    <col min="19" max="19" width="14.5703125" style="101" customWidth="1"/>
    <col min="20" max="20" width="21.42578125" style="101" customWidth="1"/>
    <col min="21" max="21" width="12.28515625" style="1" customWidth="1"/>
    <col min="22" max="22" width="12" style="1" bestFit="1" customWidth="1"/>
    <col min="23" max="23" width="15.42578125" style="1" bestFit="1" customWidth="1"/>
    <col min="24" max="16384" width="10.5703125" style="1"/>
  </cols>
  <sheetData>
    <row r="1" spans="1:21" ht="18.75">
      <c r="A1" s="491" t="str">
        <f ca="1">MID(CELL("filename",A1),FIND("]",CELL("filename",A1))+1,256)</f>
        <v>UFB-5 Tax Assessments</v>
      </c>
      <c r="B1" s="491">
        <f>ROW()</f>
        <v>1</v>
      </c>
      <c r="C1" s="491" t="str">
        <f>'Cover Page'!K6</f>
        <v>0421</v>
      </c>
      <c r="D1" s="491">
        <f>'Cover Page'!K4</f>
        <v>2020</v>
      </c>
      <c r="E1" s="491" t="s">
        <v>2031</v>
      </c>
      <c r="F1" s="491" t="s">
        <v>2139</v>
      </c>
      <c r="G1" s="491" t="s">
        <v>121</v>
      </c>
      <c r="H1" s="505">
        <f ca="1">TODAY()</f>
        <v>44244</v>
      </c>
      <c r="J1" s="706" t="s">
        <v>2284</v>
      </c>
      <c r="K1" s="706"/>
      <c r="L1" s="706"/>
      <c r="M1" s="706"/>
      <c r="N1" s="706"/>
      <c r="O1" s="706"/>
      <c r="P1" s="706"/>
      <c r="Q1" s="706"/>
      <c r="R1" s="706"/>
      <c r="S1" s="706"/>
      <c r="T1" s="706"/>
      <c r="U1" s="706"/>
    </row>
    <row r="2" spans="1:21" ht="12.75" customHeight="1">
      <c r="A2" s="491" t="str">
        <f t="shared" ref="A2:A35" ca="1" si="0">MID(CELL("filename",A2),FIND("]",CELL("filename",A2))+1,256)</f>
        <v>UFB-5 Tax Assessments</v>
      </c>
      <c r="B2" s="491">
        <f>ROW()</f>
        <v>2</v>
      </c>
      <c r="C2" s="491" t="str">
        <f>'Cover Page'!K6</f>
        <v>0421</v>
      </c>
      <c r="D2" s="491">
        <f>'Cover Page'!K4</f>
        <v>2020</v>
      </c>
      <c r="E2" s="491" t="s">
        <v>2031</v>
      </c>
      <c r="F2" s="491" t="s">
        <v>2139</v>
      </c>
      <c r="G2" s="491" t="s">
        <v>121</v>
      </c>
      <c r="H2" s="505">
        <f ca="1">TODAY()</f>
        <v>44244</v>
      </c>
      <c r="J2" s="707" t="str">
        <f>"Property Tax Assessments - Taxable Properties (October 1, "&amp;'Cover Page'!K4-1&amp;" Value)"</f>
        <v>Property Tax Assessments - Taxable Properties (October 1, 2019 Value)</v>
      </c>
      <c r="K2" s="708"/>
      <c r="L2" s="708"/>
      <c r="M2" s="708"/>
      <c r="N2" s="708"/>
      <c r="O2" s="709"/>
      <c r="P2" s="6"/>
      <c r="Q2" s="710" t="str">
        <f>"Property Tax Assessments - Exempt Properties (October 1, "&amp;'Cover Page'!K4-1&amp;" Value)"</f>
        <v>Property Tax Assessments - Exempt Properties (October 1, 2019 Value)</v>
      </c>
      <c r="R2" s="711"/>
      <c r="S2" s="711"/>
      <c r="T2" s="711"/>
      <c r="U2" s="712"/>
    </row>
    <row r="3" spans="1:21" s="20" customFormat="1">
      <c r="A3" s="491" t="str">
        <f t="shared" ca="1" si="0"/>
        <v>UFB-5 Tax Assessments</v>
      </c>
      <c r="B3" s="491">
        <f>ROW()</f>
        <v>3</v>
      </c>
      <c r="C3" s="491" t="str">
        <f>'Cover Page'!K6</f>
        <v>0421</v>
      </c>
      <c r="D3" s="491">
        <f>'Cover Page'!K4</f>
        <v>2020</v>
      </c>
      <c r="E3" s="491" t="s">
        <v>2031</v>
      </c>
      <c r="F3" s="491" t="s">
        <v>2139</v>
      </c>
      <c r="G3" s="491" t="s">
        <v>121</v>
      </c>
      <c r="H3" s="505">
        <f t="shared" ref="H3:H15" ca="1" si="1">TODAY()</f>
        <v>44244</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0421</v>
      </c>
      <c r="D4" s="491">
        <f>'Cover Page'!K4</f>
        <v>2020</v>
      </c>
      <c r="E4" s="491" t="s">
        <v>2031</v>
      </c>
      <c r="F4" s="491" t="s">
        <v>2139</v>
      </c>
      <c r="G4" s="491" t="s">
        <v>2140</v>
      </c>
      <c r="H4" s="505">
        <f t="shared" ca="1" si="1"/>
        <v>44244</v>
      </c>
      <c r="J4" s="94">
        <v>1</v>
      </c>
      <c r="K4" s="21" t="s">
        <v>98</v>
      </c>
      <c r="L4" s="514">
        <v>239</v>
      </c>
      <c r="M4" s="515">
        <v>4241300</v>
      </c>
      <c r="N4" s="520">
        <f t="shared" ref="N4:N11" si="2">IF(M4&gt;0,M4/M$12,0)</f>
        <v>2.0112691391371645E-2</v>
      </c>
      <c r="O4" s="519"/>
      <c r="P4" s="18"/>
      <c r="Q4" s="91" t="s">
        <v>99</v>
      </c>
      <c r="R4" s="21" t="s">
        <v>100</v>
      </c>
      <c r="S4" s="95">
        <v>2</v>
      </c>
      <c r="T4" s="264">
        <v>5230000</v>
      </c>
      <c r="U4" s="310">
        <f t="shared" ref="U4:U9" si="3">IF(T4&gt;0,T4/T$12,0)</f>
        <v>0.23804863838909801</v>
      </c>
    </row>
    <row r="5" spans="1:21" s="20" customFormat="1">
      <c r="A5" s="491" t="str">
        <f t="shared" ca="1" si="0"/>
        <v>UFB-5 Tax Assessments</v>
      </c>
      <c r="B5" s="491">
        <f>ROW()</f>
        <v>5</v>
      </c>
      <c r="C5" s="491" t="str">
        <f>'Cover Page'!K6</f>
        <v>0421</v>
      </c>
      <c r="D5" s="491">
        <f>'Cover Page'!K4</f>
        <v>2020</v>
      </c>
      <c r="E5" s="491" t="s">
        <v>2031</v>
      </c>
      <c r="F5" s="491" t="s">
        <v>2139</v>
      </c>
      <c r="G5" s="491" t="s">
        <v>2141</v>
      </c>
      <c r="H5" s="505">
        <f t="shared" ca="1" si="1"/>
        <v>44244</v>
      </c>
      <c r="J5" s="94">
        <v>2</v>
      </c>
      <c r="K5" s="14" t="s">
        <v>101</v>
      </c>
      <c r="L5" s="514">
        <v>980</v>
      </c>
      <c r="M5" s="515">
        <v>133010300</v>
      </c>
      <c r="N5" s="520">
        <f t="shared" si="2"/>
        <v>0.63074885430734917</v>
      </c>
      <c r="O5" s="519"/>
      <c r="P5" s="18"/>
      <c r="Q5" s="94" t="s">
        <v>102</v>
      </c>
      <c r="R5" s="14" t="s">
        <v>103</v>
      </c>
      <c r="S5" s="95"/>
      <c r="T5" s="264"/>
      <c r="U5" s="310">
        <f t="shared" si="3"/>
        <v>0</v>
      </c>
    </row>
    <row r="6" spans="1:21" s="20" customFormat="1">
      <c r="A6" s="491" t="str">
        <f t="shared" ca="1" si="0"/>
        <v>UFB-5 Tax Assessments</v>
      </c>
      <c r="B6" s="491">
        <f>ROW()</f>
        <v>6</v>
      </c>
      <c r="C6" s="491" t="str">
        <f>'Cover Page'!K6</f>
        <v>0421</v>
      </c>
      <c r="D6" s="491">
        <f>'Cover Page'!K4</f>
        <v>2020</v>
      </c>
      <c r="E6" s="491" t="s">
        <v>2031</v>
      </c>
      <c r="F6" s="491" t="s">
        <v>2139</v>
      </c>
      <c r="G6" s="491" t="s">
        <v>2142</v>
      </c>
      <c r="H6" s="505">
        <f t="shared" ca="1" si="1"/>
        <v>44244</v>
      </c>
      <c r="J6" s="94" t="s">
        <v>312</v>
      </c>
      <c r="K6" s="20" t="s">
        <v>104</v>
      </c>
      <c r="L6" s="512"/>
      <c r="M6" s="513"/>
      <c r="N6" s="520">
        <f t="shared" si="2"/>
        <v>0</v>
      </c>
      <c r="O6" s="519"/>
      <c r="P6" s="18"/>
      <c r="Q6" s="94" t="s">
        <v>105</v>
      </c>
      <c r="R6" s="20" t="s">
        <v>106</v>
      </c>
      <c r="S6" s="96">
        <v>102</v>
      </c>
      <c r="T6" s="264">
        <v>5751300</v>
      </c>
      <c r="U6" s="310">
        <f t="shared" si="3"/>
        <v>0.26177612504153336</v>
      </c>
    </row>
    <row r="7" spans="1:21" s="20" customFormat="1">
      <c r="A7" s="491" t="str">
        <f t="shared" ca="1" si="0"/>
        <v>UFB-5 Tax Assessments</v>
      </c>
      <c r="B7" s="491">
        <f>ROW()</f>
        <v>7</v>
      </c>
      <c r="C7" s="491" t="str">
        <f>'Cover Page'!K6</f>
        <v>0421</v>
      </c>
      <c r="D7" s="491">
        <f>'Cover Page'!K4</f>
        <v>2020</v>
      </c>
      <c r="E7" s="491" t="s">
        <v>2031</v>
      </c>
      <c r="F7" s="491" t="s">
        <v>2139</v>
      </c>
      <c r="G7" s="491" t="s">
        <v>2143</v>
      </c>
      <c r="H7" s="505">
        <f t="shared" ca="1" si="1"/>
        <v>44244</v>
      </c>
      <c r="J7" s="94" t="s">
        <v>107</v>
      </c>
      <c r="K7" s="20" t="s">
        <v>108</v>
      </c>
      <c r="L7" s="514">
        <v>61</v>
      </c>
      <c r="M7" s="515">
        <v>54303300</v>
      </c>
      <c r="N7" s="520">
        <f t="shared" si="2"/>
        <v>0.25751196907388579</v>
      </c>
      <c r="O7" s="519"/>
      <c r="P7" s="18"/>
      <c r="Q7" s="94" t="s">
        <v>109</v>
      </c>
      <c r="R7" s="20" t="s">
        <v>110</v>
      </c>
      <c r="S7" s="95">
        <v>19</v>
      </c>
      <c r="T7" s="264">
        <v>5981700</v>
      </c>
      <c r="U7" s="310">
        <f t="shared" si="3"/>
        <v>0.27226300960842592</v>
      </c>
    </row>
    <row r="8" spans="1:21" s="20" customFormat="1">
      <c r="A8" s="491" t="str">
        <f t="shared" ca="1" si="0"/>
        <v>UFB-5 Tax Assessments</v>
      </c>
      <c r="B8" s="491">
        <f>ROW()</f>
        <v>8</v>
      </c>
      <c r="C8" s="491" t="str">
        <f>'Cover Page'!K6</f>
        <v>0421</v>
      </c>
      <c r="D8" s="491">
        <f>'Cover Page'!K4</f>
        <v>2020</v>
      </c>
      <c r="E8" s="491" t="s">
        <v>2031</v>
      </c>
      <c r="F8" s="491" t="s">
        <v>2139</v>
      </c>
      <c r="G8" s="491" t="s">
        <v>2144</v>
      </c>
      <c r="H8" s="505">
        <f t="shared" ca="1" si="1"/>
        <v>44244</v>
      </c>
      <c r="J8" s="94" t="s">
        <v>111</v>
      </c>
      <c r="K8" s="14" t="s">
        <v>112</v>
      </c>
      <c r="L8" s="514">
        <v>3</v>
      </c>
      <c r="M8" s="515">
        <v>14330900</v>
      </c>
      <c r="N8" s="520">
        <f t="shared" si="2"/>
        <v>6.7958637460356006E-2</v>
      </c>
      <c r="O8" s="519"/>
      <c r="P8" s="18"/>
      <c r="Q8" s="94" t="s">
        <v>113</v>
      </c>
      <c r="R8" s="14" t="s">
        <v>313</v>
      </c>
      <c r="S8" s="95">
        <v>1</v>
      </c>
      <c r="T8" s="264">
        <v>1750600</v>
      </c>
      <c r="U8" s="310">
        <f t="shared" si="3"/>
        <v>7.968029567188431E-2</v>
      </c>
    </row>
    <row r="9" spans="1:21" s="20" customFormat="1">
      <c r="A9" s="491" t="str">
        <f ca="1">MID(CELL("filename",A9),FIND("]",CELL("filename",A9))+1,256)</f>
        <v>UFB-5 Tax Assessments</v>
      </c>
      <c r="B9" s="491">
        <f>ROW()</f>
        <v>9</v>
      </c>
      <c r="C9" s="491" t="str">
        <f>'Cover Page'!K6</f>
        <v>0421</v>
      </c>
      <c r="D9" s="491">
        <f>'Cover Page'!K4</f>
        <v>2020</v>
      </c>
      <c r="E9" s="491" t="s">
        <v>2031</v>
      </c>
      <c r="F9" s="491" t="s">
        <v>2139</v>
      </c>
      <c r="G9" s="491" t="s">
        <v>2145</v>
      </c>
      <c r="H9" s="505">
        <f t="shared" ca="1" si="1"/>
        <v>44244</v>
      </c>
      <c r="J9" s="94" t="s">
        <v>114</v>
      </c>
      <c r="K9" s="14" t="s">
        <v>115</v>
      </c>
      <c r="L9" s="514">
        <v>6</v>
      </c>
      <c r="M9" s="515">
        <v>4991000</v>
      </c>
      <c r="N9" s="520">
        <f t="shared" si="2"/>
        <v>2.3667847767037436E-2</v>
      </c>
      <c r="O9" s="519"/>
      <c r="P9" s="18"/>
      <c r="Q9" s="94" t="s">
        <v>116</v>
      </c>
      <c r="R9" s="14" t="s">
        <v>117</v>
      </c>
      <c r="S9" s="95">
        <v>19</v>
      </c>
      <c r="T9" s="264">
        <v>3256700</v>
      </c>
      <c r="U9" s="310">
        <f t="shared" si="3"/>
        <v>0.1482319312890584</v>
      </c>
    </row>
    <row r="10" spans="1:21" s="20" customFormat="1">
      <c r="A10" s="491" t="str">
        <f ca="1">MID(CELL("filename",A10),FIND("]",CELL("filename",A10))+1,256)</f>
        <v>UFB-5 Tax Assessments</v>
      </c>
      <c r="B10" s="491">
        <f>ROW()</f>
        <v>10</v>
      </c>
      <c r="C10" s="491" t="str">
        <f>'Cover Page'!K6</f>
        <v>0421</v>
      </c>
      <c r="D10" s="491">
        <f>'Cover Page'!K4</f>
        <v>2020</v>
      </c>
      <c r="E10" s="491" t="s">
        <v>2031</v>
      </c>
      <c r="F10" s="491" t="s">
        <v>2139</v>
      </c>
      <c r="G10" s="491" t="s">
        <v>2146</v>
      </c>
      <c r="H10" s="505">
        <f t="shared" ca="1" si="1"/>
        <v>44244</v>
      </c>
      <c r="J10" s="94" t="s">
        <v>310</v>
      </c>
      <c r="K10" s="14" t="s">
        <v>309</v>
      </c>
      <c r="L10" s="514"/>
      <c r="M10" s="515"/>
      <c r="N10" s="520">
        <f t="shared" si="2"/>
        <v>0</v>
      </c>
      <c r="O10" s="519"/>
      <c r="P10" s="18"/>
      <c r="Q10" s="94"/>
      <c r="R10" s="14"/>
      <c r="S10" s="14"/>
      <c r="T10" s="266"/>
      <c r="U10" s="97"/>
    </row>
    <row r="11" spans="1:21" s="20" customFormat="1" ht="13.5" thickBot="1">
      <c r="A11" s="491" t="str">
        <f ca="1">MID(CELL("filename",A11),FIND("]",CELL("filename",A11))+1,256)</f>
        <v>UFB-5 Tax Assessments</v>
      </c>
      <c r="B11" s="491">
        <f>ROW()</f>
        <v>11</v>
      </c>
      <c r="C11" s="491" t="str">
        <f>'Cover Page'!K6</f>
        <v>0421</v>
      </c>
      <c r="D11" s="491">
        <f>'Cover Page'!K4</f>
        <v>2020</v>
      </c>
      <c r="E11" s="491" t="s">
        <v>2031</v>
      </c>
      <c r="F11" s="491" t="s">
        <v>2139</v>
      </c>
      <c r="G11" s="491" t="s">
        <v>2147</v>
      </c>
      <c r="H11" s="505">
        <f t="shared" ca="1" si="1"/>
        <v>44244</v>
      </c>
      <c r="J11" s="94" t="s">
        <v>311</v>
      </c>
      <c r="K11" s="14" t="s">
        <v>118</v>
      </c>
      <c r="L11" s="514"/>
      <c r="M11" s="515"/>
      <c r="N11" s="520">
        <f t="shared" si="2"/>
        <v>0</v>
      </c>
      <c r="O11" s="519"/>
      <c r="P11" s="18"/>
      <c r="Q11" s="94"/>
      <c r="R11" s="14"/>
      <c r="S11" s="14"/>
      <c r="T11" s="266"/>
      <c r="U11" s="97"/>
    </row>
    <row r="12" spans="1:21" s="20" customFormat="1" ht="14.25" thickTop="1" thickBot="1">
      <c r="A12" s="491" t="str">
        <f t="shared" ca="1" si="0"/>
        <v>UFB-5 Tax Assessments</v>
      </c>
      <c r="B12" s="491">
        <f>ROW()</f>
        <v>12</v>
      </c>
      <c r="C12" s="491" t="str">
        <f>'Cover Page'!K6</f>
        <v>0421</v>
      </c>
      <c r="D12" s="491">
        <f>'Cover Page'!K4</f>
        <v>2020</v>
      </c>
      <c r="E12" s="491" t="s">
        <v>2031</v>
      </c>
      <c r="F12" s="491" t="s">
        <v>2139</v>
      </c>
      <c r="G12" s="491" t="s">
        <v>2148</v>
      </c>
      <c r="H12" s="505">
        <f t="shared" ca="1" si="1"/>
        <v>44244</v>
      </c>
      <c r="J12" s="98"/>
      <c r="K12" s="29" t="s">
        <v>97</v>
      </c>
      <c r="L12" s="312">
        <f>SUM(L4:L11)</f>
        <v>1289</v>
      </c>
      <c r="M12" s="313">
        <f>SUM(M4:M11)</f>
        <v>210876800</v>
      </c>
      <c r="N12" s="311">
        <f>SUM(N4:N11)</f>
        <v>1</v>
      </c>
      <c r="O12" s="116"/>
      <c r="P12" s="18"/>
      <c r="Q12" s="91"/>
      <c r="R12" s="29" t="s">
        <v>97</v>
      </c>
      <c r="S12" s="312">
        <f>SUM(S4:S9)</f>
        <v>143</v>
      </c>
      <c r="T12" s="313">
        <f>SUM(T4:T9)</f>
        <v>21970300</v>
      </c>
      <c r="U12" s="311">
        <f>SUM(U4:U9)</f>
        <v>1</v>
      </c>
    </row>
    <row r="13" spans="1:21" s="20" customFormat="1" ht="13.5" thickTop="1">
      <c r="A13" s="491" t="str">
        <f t="shared" ca="1" si="0"/>
        <v>UFB-5 Tax Assessments</v>
      </c>
      <c r="B13" s="491">
        <f>ROW()</f>
        <v>13</v>
      </c>
      <c r="C13" s="491" t="str">
        <f>'Cover Page'!K6</f>
        <v>0421</v>
      </c>
      <c r="D13" s="491">
        <f>'Cover Page'!K4</f>
        <v>2020</v>
      </c>
      <c r="E13" s="491" t="s">
        <v>2031</v>
      </c>
      <c r="F13" s="491" t="s">
        <v>2139</v>
      </c>
      <c r="G13" s="491"/>
      <c r="H13" s="505">
        <f t="shared" ca="1" si="1"/>
        <v>44244</v>
      </c>
      <c r="J13" s="26"/>
      <c r="O13" s="116"/>
      <c r="P13" s="18"/>
      <c r="Q13" s="98"/>
      <c r="U13" s="327"/>
    </row>
    <row r="14" spans="1:21" s="20" customFormat="1" ht="13.5" thickBot="1">
      <c r="A14" s="491" t="str">
        <f t="shared" ca="1" si="0"/>
        <v>UFB-5 Tax Assessments</v>
      </c>
      <c r="B14" s="491">
        <f>ROW()</f>
        <v>14</v>
      </c>
      <c r="C14" s="491" t="str">
        <f>'Cover Page'!K6</f>
        <v>0421</v>
      </c>
      <c r="D14" s="491">
        <f>'Cover Page'!K4</f>
        <v>2020</v>
      </c>
      <c r="E14" s="491" t="s">
        <v>2031</v>
      </c>
      <c r="F14" s="491" t="s">
        <v>2139</v>
      </c>
      <c r="G14" s="491" t="s">
        <v>2149</v>
      </c>
      <c r="H14" s="505">
        <f t="shared" ca="1" si="1"/>
        <v>44244</v>
      </c>
      <c r="J14" s="91"/>
      <c r="K14" s="480" t="s">
        <v>119</v>
      </c>
      <c r="L14" s="481"/>
      <c r="M14" s="483">
        <v>1.0022</v>
      </c>
      <c r="N14" s="14"/>
      <c r="O14" s="116"/>
      <c r="P14" s="18"/>
      <c r="Q14" s="91"/>
      <c r="R14" s="14"/>
      <c r="S14" s="14"/>
      <c r="T14" s="14"/>
      <c r="U14" s="116"/>
    </row>
    <row r="15" spans="1:21" s="20" customFormat="1" ht="14.25" thickTop="1" thickBot="1">
      <c r="A15" s="491" t="str">
        <f t="shared" ca="1" si="0"/>
        <v>UFB-5 Tax Assessments</v>
      </c>
      <c r="B15" s="491">
        <f>ROW()</f>
        <v>15</v>
      </c>
      <c r="C15" s="491" t="str">
        <f>'Cover Page'!K6</f>
        <v>0421</v>
      </c>
      <c r="D15" s="491">
        <f>'Cover Page'!K4</f>
        <v>2020</v>
      </c>
      <c r="E15" s="491" t="s">
        <v>2031</v>
      </c>
      <c r="F15" s="491" t="s">
        <v>2139</v>
      </c>
      <c r="G15" s="491" t="s">
        <v>2150</v>
      </c>
      <c r="H15" s="505">
        <f t="shared" ca="1" si="1"/>
        <v>44244</v>
      </c>
      <c r="J15" s="91"/>
      <c r="K15" s="480" t="s">
        <v>120</v>
      </c>
      <c r="L15" s="482"/>
      <c r="M15" s="484">
        <f>IF(M12&gt;0,M12/M14,0)</f>
        <v>210413889.44322491</v>
      </c>
      <c r="N15" s="14"/>
      <c r="O15" s="116"/>
      <c r="P15" s="18"/>
      <c r="Q15" s="91"/>
      <c r="R15" s="8" t="s">
        <v>277</v>
      </c>
      <c r="S15" s="14"/>
      <c r="T15" s="14"/>
      <c r="U15" s="12"/>
    </row>
    <row r="16" spans="1:21" s="20" customFormat="1" ht="13.5" thickTop="1">
      <c r="A16" s="491" t="str">
        <f t="shared" ca="1" si="0"/>
        <v>UFB-5 Tax Assessments</v>
      </c>
      <c r="B16" s="491">
        <f>ROW()</f>
        <v>16</v>
      </c>
      <c r="C16" s="491" t="str">
        <f>'Cover Page'!K6</f>
        <v>0421</v>
      </c>
      <c r="D16" s="491">
        <f>'Cover Page'!K4</f>
        <v>2020</v>
      </c>
      <c r="E16" s="491" t="s">
        <v>2031</v>
      </c>
      <c r="F16" s="491" t="s">
        <v>2139</v>
      </c>
      <c r="G16" s="491" t="s">
        <v>2156</v>
      </c>
      <c r="H16" s="505">
        <f>'Cover Page'!M38</f>
        <v>0</v>
      </c>
      <c r="J16" s="91"/>
      <c r="N16" s="14"/>
      <c r="O16" s="116"/>
      <c r="P16" s="18"/>
      <c r="Q16" s="91"/>
      <c r="R16" s="20" t="s">
        <v>261</v>
      </c>
      <c r="S16" s="28">
        <f>T12/M12</f>
        <v>0.10418547701786067</v>
      </c>
      <c r="T16" s="14"/>
      <c r="U16" s="12"/>
    </row>
    <row r="17" spans="1:21" s="20" customFormat="1" ht="13.5" thickBot="1">
      <c r="A17" s="491" t="str">
        <f t="shared" ca="1" si="0"/>
        <v>UFB-5 Tax Assessments</v>
      </c>
      <c r="B17" s="491">
        <f>ROW()</f>
        <v>17</v>
      </c>
      <c r="C17" s="491" t="str">
        <f>'Cover Page'!K6</f>
        <v>0421</v>
      </c>
      <c r="D17" s="491">
        <f>'Cover Page'!K4</f>
        <v>2020</v>
      </c>
      <c r="E17" s="491" t="s">
        <v>2031</v>
      </c>
      <c r="F17" s="491" t="s">
        <v>2139</v>
      </c>
      <c r="G17" s="491" t="s">
        <v>2151</v>
      </c>
      <c r="H17" s="505">
        <f>'Cover Page'!M38</f>
        <v>0</v>
      </c>
      <c r="J17" s="94"/>
      <c r="K17" s="485" t="str">
        <f>"        Total # of property tax appeals filed in "&amp;'Cover Page'!K4-1</f>
        <v xml:space="preserve">        Total # of property tax appeals filed in 2019</v>
      </c>
      <c r="L17" s="488"/>
      <c r="M17" s="489" t="s">
        <v>123</v>
      </c>
      <c r="N17" s="642"/>
      <c r="O17" s="521"/>
      <c r="P17" s="18"/>
      <c r="Q17" s="91"/>
      <c r="T17" s="93"/>
      <c r="U17" s="12"/>
    </row>
    <row r="18" spans="1:21" s="20" customFormat="1" ht="14.25" thickTop="1" thickBot="1">
      <c r="A18" s="491" t="str">
        <f t="shared" ca="1" si="0"/>
        <v>UFB-5 Tax Assessments</v>
      </c>
      <c r="B18" s="491">
        <f>ROW()</f>
        <v>18</v>
      </c>
      <c r="C18" s="491" t="str">
        <f>'Cover Page'!K6</f>
        <v>0421</v>
      </c>
      <c r="D18" s="491">
        <f>'Cover Page'!K4</f>
        <v>2020</v>
      </c>
      <c r="E18" s="491" t="s">
        <v>2031</v>
      </c>
      <c r="F18" s="491" t="s">
        <v>2139</v>
      </c>
      <c r="G18" s="491" t="s">
        <v>2152</v>
      </c>
      <c r="H18" s="505">
        <f>'Cover Page'!M38</f>
        <v>0</v>
      </c>
      <c r="J18" s="94"/>
      <c r="L18" s="99"/>
      <c r="M18" s="489" t="s">
        <v>122</v>
      </c>
      <c r="N18" s="643"/>
      <c r="O18" s="521"/>
      <c r="P18" s="18"/>
      <c r="Q18" s="91"/>
      <c r="S18" s="309"/>
      <c r="T18" s="99"/>
      <c r="U18" s="12"/>
    </row>
    <row r="19" spans="1:21" s="20" customFormat="1" ht="14.25" thickTop="1" thickBot="1">
      <c r="A19" s="491" t="str">
        <f t="shared" ca="1" si="0"/>
        <v>UFB-5 Tax Assessments</v>
      </c>
      <c r="B19" s="491">
        <f>ROW()</f>
        <v>19</v>
      </c>
      <c r="C19" s="491" t="str">
        <f>'Cover Page'!K6</f>
        <v>0421</v>
      </c>
      <c r="D19" s="491">
        <f>'Cover Page'!K4</f>
        <v>2020</v>
      </c>
      <c r="E19" s="491" t="s">
        <v>2031</v>
      </c>
      <c r="F19" s="491" t="s">
        <v>2139</v>
      </c>
      <c r="G19" s="491" t="s">
        <v>2153</v>
      </c>
      <c r="H19" s="505">
        <f>'Cover Page'!M38</f>
        <v>0</v>
      </c>
      <c r="J19" s="91"/>
      <c r="K19" s="485" t="str">
        <f>"Number of "&amp;'Cover Page'!K4-1&amp;" County Tax Board decisions appealed to Tax Court"</f>
        <v>Number of 2019 County Tax Board decisions appealed to Tax Court</v>
      </c>
      <c r="L19" s="486"/>
      <c r="M19" s="487"/>
      <c r="N19" s="642"/>
      <c r="O19" s="522"/>
      <c r="P19" s="31"/>
      <c r="Q19" s="91"/>
      <c r="R19" s="8"/>
      <c r="S19" s="90"/>
      <c r="T19" s="90"/>
      <c r="U19" s="12"/>
    </row>
    <row r="20" spans="1:21" s="20" customFormat="1" ht="14.25" thickTop="1" thickBot="1">
      <c r="A20" s="491" t="str">
        <f t="shared" ca="1" si="0"/>
        <v>UFB-5 Tax Assessments</v>
      </c>
      <c r="B20" s="491">
        <f>ROW()</f>
        <v>20</v>
      </c>
      <c r="C20" s="491" t="str">
        <f>'Cover Page'!K6</f>
        <v>0421</v>
      </c>
      <c r="D20" s="491">
        <f>'Cover Page'!K4</f>
        <v>2020</v>
      </c>
      <c r="E20" s="491" t="s">
        <v>2031</v>
      </c>
      <c r="F20" s="491" t="s">
        <v>2139</v>
      </c>
      <c r="G20" s="491" t="s">
        <v>2154</v>
      </c>
      <c r="H20" s="505">
        <f>'Cover Page'!M38</f>
        <v>0</v>
      </c>
      <c r="J20" s="91"/>
      <c r="K20" s="485" t="s">
        <v>2285</v>
      </c>
      <c r="L20" s="486"/>
      <c r="M20" s="487"/>
      <c r="N20" s="642"/>
      <c r="O20" s="522"/>
      <c r="P20" s="31"/>
      <c r="Q20" s="91"/>
      <c r="R20" s="8"/>
      <c r="S20" s="90"/>
      <c r="T20" s="90"/>
      <c r="U20" s="12"/>
    </row>
    <row r="21" spans="1:21" s="20" customFormat="1" ht="13.5" thickTop="1">
      <c r="A21" s="491" t="str">
        <f t="shared" ca="1" si="0"/>
        <v>UFB-5 Tax Assessments</v>
      </c>
      <c r="B21" s="491">
        <f>ROW()</f>
        <v>21</v>
      </c>
      <c r="C21" s="491" t="str">
        <f>'Cover Page'!K6</f>
        <v>0421</v>
      </c>
      <c r="D21" s="491">
        <f>'Cover Page'!K4</f>
        <v>2020</v>
      </c>
      <c r="E21" s="491" t="s">
        <v>2031</v>
      </c>
      <c r="F21" s="491" t="s">
        <v>2139</v>
      </c>
      <c r="G21" s="491"/>
      <c r="H21" s="505">
        <f>'Cover Page'!M38</f>
        <v>0</v>
      </c>
      <c r="J21" s="91"/>
      <c r="O21" s="522"/>
      <c r="P21" s="31"/>
      <c r="Q21" s="91"/>
      <c r="R21" s="8"/>
      <c r="S21" s="90"/>
      <c r="T21" s="90"/>
      <c r="U21" s="12"/>
    </row>
    <row r="22" spans="1:21" s="20" customFormat="1" ht="13.5" thickBot="1">
      <c r="A22" s="491" t="str">
        <f t="shared" ca="1" si="0"/>
        <v>UFB-5 Tax Assessments</v>
      </c>
      <c r="B22" s="491">
        <f>ROW()</f>
        <v>22</v>
      </c>
      <c r="C22" s="491" t="str">
        <f>'Cover Page'!K6</f>
        <v>0421</v>
      </c>
      <c r="D22" s="491">
        <f>'Cover Page'!K4</f>
        <v>2020</v>
      </c>
      <c r="E22" s="491" t="s">
        <v>2031</v>
      </c>
      <c r="F22" s="491" t="s">
        <v>2139</v>
      </c>
      <c r="G22" s="491" t="s">
        <v>2155</v>
      </c>
      <c r="H22" s="505">
        <f>'Cover Page'!M38</f>
        <v>0</v>
      </c>
      <c r="J22" s="91"/>
      <c r="K22" s="485" t="str">
        <f>"Amount paid out by municipality for tax appeals in "&amp;'Cover Page'!K4-1</f>
        <v>Amount paid out by municipality for tax appeals in 2019</v>
      </c>
      <c r="L22" s="486"/>
      <c r="M22" s="487"/>
      <c r="N22" s="252"/>
      <c r="O22" s="522"/>
      <c r="P22" s="31"/>
      <c r="Q22" s="91"/>
      <c r="R22" s="8"/>
      <c r="S22" s="90"/>
      <c r="T22" s="90"/>
      <c r="U22" s="12"/>
    </row>
    <row r="23" spans="1:21" s="20" customFormat="1" ht="13.5" thickTop="1">
      <c r="A23" s="491" t="str">
        <f t="shared" ca="1" si="0"/>
        <v>UFB-5 Tax Assessments</v>
      </c>
      <c r="B23" s="491">
        <f>ROW()</f>
        <v>23</v>
      </c>
      <c r="C23" s="491" t="str">
        <f>'Cover Page'!K6</f>
        <v>0421</v>
      </c>
      <c r="D23" s="491">
        <f>'Cover Page'!K4</f>
        <v>2020</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0421</v>
      </c>
      <c r="D24" s="491">
        <f>'Cover Page'!K4</f>
        <v>2020</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0421</v>
      </c>
      <c r="D25" s="491">
        <f>'Cover Page'!K4</f>
        <v>2020</v>
      </c>
      <c r="E25" s="491" t="s">
        <v>2031</v>
      </c>
      <c r="F25" s="491" t="s">
        <v>2234</v>
      </c>
      <c r="G25" s="491"/>
      <c r="H25" s="505">
        <f>'Cover Page'!M38</f>
        <v>0</v>
      </c>
      <c r="J25" s="104"/>
      <c r="K25" s="719" t="s">
        <v>125</v>
      </c>
      <c r="L25" s="719"/>
      <c r="M25" s="719"/>
      <c r="N25" s="719"/>
      <c r="O25" s="719"/>
      <c r="P25" s="20"/>
      <c r="Q25" s="511"/>
      <c r="R25" s="12"/>
    </row>
    <row r="26" spans="1:21">
      <c r="A26" s="491" t="str">
        <f t="shared" ca="1" si="0"/>
        <v>UFB-5 Tax Assessments</v>
      </c>
      <c r="B26" s="491">
        <f>ROW()</f>
        <v>26</v>
      </c>
      <c r="C26" s="491" t="str">
        <f>'Cover Page'!K6</f>
        <v>0421</v>
      </c>
      <c r="D26" s="491">
        <f>'Cover Page'!K4</f>
        <v>2020</v>
      </c>
      <c r="E26" s="491" t="s">
        <v>2031</v>
      </c>
      <c r="F26" s="491" t="s">
        <v>2234</v>
      </c>
      <c r="G26" s="491"/>
      <c r="H26" s="505">
        <f>'Cover Page'!M38</f>
        <v>0</v>
      </c>
      <c r="J26" s="91"/>
      <c r="K26" s="14"/>
      <c r="L26" s="92" t="s">
        <v>212</v>
      </c>
      <c r="M26" s="108" t="s">
        <v>129</v>
      </c>
      <c r="N26" s="14"/>
      <c r="O26" s="721" t="s">
        <v>270</v>
      </c>
      <c r="P26" s="721"/>
      <c r="Q26" s="721"/>
      <c r="R26" s="721"/>
    </row>
    <row r="27" spans="1:21">
      <c r="A27" s="491" t="str">
        <f t="shared" ca="1" si="0"/>
        <v>UFB-5 Tax Assessments</v>
      </c>
      <c r="B27" s="491">
        <f>ROW()</f>
        <v>27</v>
      </c>
      <c r="C27" s="491" t="str">
        <f>'Cover Page'!K6</f>
        <v>0421</v>
      </c>
      <c r="D27" s="491">
        <f>'Cover Page'!K4</f>
        <v>2020</v>
      </c>
      <c r="E27" s="491" t="s">
        <v>2031</v>
      </c>
      <c r="F27" s="491" t="s">
        <v>2234</v>
      </c>
      <c r="G27" s="491"/>
      <c r="H27" s="505">
        <f>'Cover Page'!M38</f>
        <v>0</v>
      </c>
      <c r="J27" s="110"/>
      <c r="K27" s="99"/>
      <c r="L27" s="92" t="s">
        <v>271</v>
      </c>
      <c r="M27" s="108" t="s">
        <v>133</v>
      </c>
      <c r="N27" s="93" t="s">
        <v>96</v>
      </c>
      <c r="O27" s="720" t="str">
        <f>'Cover Page'!K4-1&amp;" Total Tax Rate"</f>
        <v>2019 Total Tax Rate</v>
      </c>
      <c r="P27" s="720"/>
      <c r="Q27" s="720"/>
      <c r="R27" s="720"/>
    </row>
    <row r="28" spans="1:21">
      <c r="A28" s="491" t="str">
        <f t="shared" ca="1" si="0"/>
        <v>UFB-5 Tax Assessments</v>
      </c>
      <c r="B28" s="491">
        <f>ROW()</f>
        <v>28</v>
      </c>
      <c r="C28" s="491" t="str">
        <f>'Cover Page'!K6</f>
        <v>0421</v>
      </c>
      <c r="D28" s="491">
        <f>'Cover Page'!K4</f>
        <v>2020</v>
      </c>
      <c r="E28" s="491" t="s">
        <v>2031</v>
      </c>
      <c r="F28" s="491" t="s">
        <v>2234</v>
      </c>
      <c r="G28" s="491" t="s">
        <v>2226</v>
      </c>
      <c r="H28" s="505">
        <f>'Cover Page'!M38</f>
        <v>0</v>
      </c>
      <c r="J28" s="110" t="s">
        <v>307</v>
      </c>
      <c r="K28" s="111" t="s">
        <v>308</v>
      </c>
      <c r="L28" s="512"/>
      <c r="M28" s="513"/>
      <c r="N28" s="513"/>
      <c r="O28" s="713"/>
      <c r="P28" s="714"/>
      <c r="Q28" s="714"/>
      <c r="R28" s="715"/>
    </row>
    <row r="29" spans="1:21">
      <c r="A29" s="491" t="str">
        <f t="shared" ca="1" si="0"/>
        <v>UFB-5 Tax Assessments</v>
      </c>
      <c r="B29" s="491">
        <f>ROW()</f>
        <v>29</v>
      </c>
      <c r="C29" s="491" t="str">
        <f>'Cover Page'!K6</f>
        <v>0421</v>
      </c>
      <c r="D29" s="491">
        <f>'Cover Page'!K4</f>
        <v>2020</v>
      </c>
      <c r="E29" s="491" t="s">
        <v>2031</v>
      </c>
      <c r="F29" s="491" t="s">
        <v>2234</v>
      </c>
      <c r="G29" s="491" t="s">
        <v>2227</v>
      </c>
      <c r="H29" s="505">
        <f>'Cover Page'!M38</f>
        <v>0</v>
      </c>
      <c r="J29" s="105" t="s">
        <v>137</v>
      </c>
      <c r="K29" s="111" t="s">
        <v>138</v>
      </c>
      <c r="L29" s="512"/>
      <c r="M29" s="513"/>
      <c r="N29" s="513"/>
      <c r="O29" s="713"/>
      <c r="P29" s="714"/>
      <c r="Q29" s="714"/>
      <c r="R29" s="715"/>
    </row>
    <row r="30" spans="1:21">
      <c r="A30" s="491" t="str">
        <f t="shared" ca="1" si="0"/>
        <v>UFB-5 Tax Assessments</v>
      </c>
      <c r="B30" s="491">
        <f>ROW()</f>
        <v>30</v>
      </c>
      <c r="C30" s="491" t="str">
        <f>'Cover Page'!K6</f>
        <v>0421</v>
      </c>
      <c r="D30" s="491">
        <f>'Cover Page'!K4</f>
        <v>2020</v>
      </c>
      <c r="E30" s="491" t="s">
        <v>2031</v>
      </c>
      <c r="F30" s="491" t="s">
        <v>2234</v>
      </c>
      <c r="G30" s="491" t="s">
        <v>2228</v>
      </c>
      <c r="H30" s="505">
        <f>'Cover Page'!M38</f>
        <v>0</v>
      </c>
      <c r="J30" s="105" t="s">
        <v>139</v>
      </c>
      <c r="K30" s="114" t="s">
        <v>140</v>
      </c>
      <c r="L30" s="514"/>
      <c r="M30" s="515"/>
      <c r="N30" s="515"/>
      <c r="O30" s="713"/>
      <c r="P30" s="714"/>
      <c r="Q30" s="714"/>
      <c r="R30" s="715"/>
    </row>
    <row r="31" spans="1:21">
      <c r="A31" s="491" t="str">
        <f t="shared" ca="1" si="0"/>
        <v>UFB-5 Tax Assessments</v>
      </c>
      <c r="B31" s="491">
        <f>ROW()</f>
        <v>31</v>
      </c>
      <c r="C31" s="491" t="str">
        <f>'Cover Page'!K6</f>
        <v>0421</v>
      </c>
      <c r="D31" s="491">
        <f>'Cover Page'!K4</f>
        <v>2020</v>
      </c>
      <c r="E31" s="491" t="s">
        <v>2031</v>
      </c>
      <c r="F31" s="491" t="s">
        <v>2234</v>
      </c>
      <c r="G31" s="491" t="s">
        <v>2229</v>
      </c>
      <c r="H31" s="505">
        <f>'Cover Page'!M38</f>
        <v>0</v>
      </c>
      <c r="J31" s="110" t="s">
        <v>141</v>
      </c>
      <c r="K31" s="115" t="s">
        <v>142</v>
      </c>
      <c r="L31" s="512"/>
      <c r="M31" s="513"/>
      <c r="N31" s="513"/>
      <c r="O31" s="713"/>
      <c r="P31" s="714"/>
      <c r="Q31" s="714"/>
      <c r="R31" s="715"/>
    </row>
    <row r="32" spans="1:21">
      <c r="A32" s="491" t="str">
        <f t="shared" ca="1" si="0"/>
        <v>UFB-5 Tax Assessments</v>
      </c>
      <c r="B32" s="491">
        <f>ROW()</f>
        <v>32</v>
      </c>
      <c r="C32" s="491" t="str">
        <f>'Cover Page'!K6</f>
        <v>0421</v>
      </c>
      <c r="D32" s="491">
        <f>'Cover Page'!K4</f>
        <v>2020</v>
      </c>
      <c r="E32" s="491" t="s">
        <v>2031</v>
      </c>
      <c r="F32" s="491" t="s">
        <v>2234</v>
      </c>
      <c r="G32" s="491" t="s">
        <v>2230</v>
      </c>
      <c r="H32" s="505">
        <f>'Cover Page'!M38</f>
        <v>0</v>
      </c>
      <c r="J32" s="110" t="s">
        <v>143</v>
      </c>
      <c r="K32" s="115" t="s">
        <v>144</v>
      </c>
      <c r="L32" s="512"/>
      <c r="M32" s="513"/>
      <c r="N32" s="513"/>
      <c r="O32" s="713"/>
      <c r="P32" s="714"/>
      <c r="Q32" s="714"/>
      <c r="R32" s="715"/>
    </row>
    <row r="33" spans="1:21">
      <c r="A33" s="491" t="str">
        <f t="shared" ca="1" si="0"/>
        <v>UFB-5 Tax Assessments</v>
      </c>
      <c r="B33" s="491">
        <f>ROW()</f>
        <v>33</v>
      </c>
      <c r="C33" s="491" t="str">
        <f>'Cover Page'!K6</f>
        <v>0421</v>
      </c>
      <c r="D33" s="491">
        <f>'Cover Page'!K4</f>
        <v>2020</v>
      </c>
      <c r="E33" s="491" t="s">
        <v>2031</v>
      </c>
      <c r="F33" s="491" t="s">
        <v>2234</v>
      </c>
      <c r="G33" s="491" t="s">
        <v>2231</v>
      </c>
      <c r="H33" s="505">
        <f>'Cover Page'!M38</f>
        <v>0</v>
      </c>
      <c r="J33" s="110" t="s">
        <v>145</v>
      </c>
      <c r="K33" s="114" t="s">
        <v>146</v>
      </c>
      <c r="L33" s="512"/>
      <c r="M33" s="513"/>
      <c r="N33" s="513"/>
      <c r="O33" s="713"/>
      <c r="P33" s="714"/>
      <c r="Q33" s="714"/>
      <c r="R33" s="715"/>
    </row>
    <row r="34" spans="1:21" ht="13.5" thickBot="1">
      <c r="A34" s="491" t="str">
        <f t="shared" ca="1" si="0"/>
        <v>UFB-5 Tax Assessments</v>
      </c>
      <c r="B34" s="491">
        <f>ROW()</f>
        <v>34</v>
      </c>
      <c r="C34" s="491" t="str">
        <f>'Cover Page'!K6</f>
        <v>0421</v>
      </c>
      <c r="D34" s="491">
        <f>'Cover Page'!K4</f>
        <v>2020</v>
      </c>
      <c r="E34" s="491" t="s">
        <v>2031</v>
      </c>
      <c r="F34" s="491" t="s">
        <v>2234</v>
      </c>
      <c r="G34" s="491" t="s">
        <v>2232</v>
      </c>
      <c r="H34" s="505">
        <f>'Cover Page'!M38</f>
        <v>0</v>
      </c>
      <c r="J34" s="110" t="s">
        <v>147</v>
      </c>
      <c r="K34" s="114" t="s">
        <v>148</v>
      </c>
      <c r="L34" s="512"/>
      <c r="M34" s="513"/>
      <c r="N34" s="513"/>
      <c r="O34" s="713"/>
      <c r="P34" s="714"/>
      <c r="Q34" s="714"/>
      <c r="R34" s="715"/>
    </row>
    <row r="35" spans="1:21" ht="13.5" thickTop="1">
      <c r="A35" s="491" t="str">
        <f t="shared" ca="1" si="0"/>
        <v>UFB-5 Tax Assessments</v>
      </c>
      <c r="B35" s="491">
        <f>ROW()</f>
        <v>35</v>
      </c>
      <c r="C35" s="491" t="str">
        <f>'Cover Page'!K6</f>
        <v>0421</v>
      </c>
      <c r="D35" s="491">
        <f>'Cover Page'!K4</f>
        <v>2020</v>
      </c>
      <c r="E35" s="491" t="s">
        <v>2031</v>
      </c>
      <c r="F35" s="491" t="s">
        <v>2234</v>
      </c>
      <c r="G35" s="491" t="s">
        <v>2233</v>
      </c>
      <c r="H35" s="505">
        <f>'Cover Page'!M38</f>
        <v>0</v>
      </c>
      <c r="J35" s="119"/>
      <c r="K35" s="24" t="s">
        <v>149</v>
      </c>
      <c r="L35" s="517">
        <f>SUM(L28:L34)</f>
        <v>0</v>
      </c>
      <c r="M35" s="518">
        <f>SUM(M28:M34)</f>
        <v>0</v>
      </c>
      <c r="N35" s="518">
        <f>SUM(N28:N34)</f>
        <v>0</v>
      </c>
      <c r="O35" s="716">
        <f>SUM(O28:O34)</f>
        <v>0</v>
      </c>
      <c r="P35" s="717"/>
      <c r="Q35" s="717"/>
      <c r="R35" s="718"/>
    </row>
    <row r="36" spans="1:21" ht="14.25">
      <c r="A36" s="491"/>
      <c r="B36" s="491"/>
      <c r="C36" s="491"/>
      <c r="D36" s="491"/>
      <c r="E36" s="491"/>
      <c r="F36" s="491"/>
      <c r="G36" s="491"/>
      <c r="H36" s="505"/>
      <c r="J36" s="705" t="s">
        <v>124</v>
      </c>
      <c r="K36" s="705"/>
      <c r="L36" s="705"/>
      <c r="M36" s="705"/>
      <c r="N36" s="705"/>
      <c r="O36" s="705"/>
      <c r="P36" s="705"/>
      <c r="Q36" s="705"/>
      <c r="R36" s="705"/>
      <c r="S36" s="705"/>
      <c r="T36" s="705"/>
      <c r="U36" s="705"/>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I39"/>
  <sheetViews>
    <sheetView topLeftCell="J1" zoomScaleNormal="100" workbookViewId="0">
      <selection activeCell="J39" sqref="J39:O39"/>
    </sheetView>
  </sheetViews>
  <sheetFormatPr defaultColWidth="10.5703125" defaultRowHeight="12.75"/>
  <cols>
    <col min="1" max="3" width="10.5703125" style="101" hidden="1" customWidth="1"/>
    <col min="4" max="4" width="10.5703125" style="523" hidden="1" customWidth="1"/>
    <col min="5" max="7" width="10.5703125" style="101" hidden="1" customWidth="1"/>
    <col min="8" max="8" width="9" style="508" hidden="1" customWidth="1"/>
    <col min="9" max="9" width="10.5703125" style="101" hidden="1" customWidth="1"/>
    <col min="10" max="10" width="0.85546875" style="101" customWidth="1"/>
    <col min="11" max="11" width="23.7109375" style="124" customWidth="1"/>
    <col min="12" max="12" width="12.7109375" style="101" customWidth="1"/>
    <col min="13" max="13" width="14" style="101" customWidth="1"/>
    <col min="14" max="14" width="14.140625" style="101" customWidth="1"/>
    <col min="15" max="15" width="16.85546875" style="101" customWidth="1"/>
    <col min="16" max="16" width="1" style="101" customWidth="1"/>
    <col min="17" max="17" width="21.42578125" style="101" customWidth="1"/>
    <col min="18" max="18" width="13.140625" style="101" customWidth="1"/>
    <col min="19" max="19" width="12.140625" style="101" customWidth="1"/>
    <col min="20" max="20" width="13.5703125" style="101" customWidth="1"/>
    <col min="21" max="21" width="16.140625" style="101" customWidth="1"/>
    <col min="22" max="22" width="0.85546875" style="101" customWidth="1"/>
    <col min="23" max="23" width="21.28515625" style="101" customWidth="1"/>
    <col min="24" max="24" width="14.28515625" style="101" customWidth="1"/>
    <col min="25" max="25" width="13" style="101" customWidth="1"/>
    <col min="26" max="26" width="13.7109375" style="101" customWidth="1"/>
    <col min="27" max="27" width="16.140625" style="101" customWidth="1"/>
    <col min="28" max="28" width="0.85546875" style="101" customWidth="1"/>
    <col min="29" max="29" width="21.140625" style="101" customWidth="1"/>
    <col min="30" max="30" width="16.5703125" style="101" customWidth="1"/>
    <col min="31" max="31" width="12.85546875" style="101" customWidth="1"/>
    <col min="32" max="33" width="16.140625" style="101" customWidth="1"/>
    <col min="34" max="34" width="10.5703125" style="101"/>
    <col min="35" max="35" width="10.5703125" style="101" hidden="1" customWidth="1"/>
    <col min="36" max="39" width="10.5703125" style="101"/>
    <col min="40" max="40" width="10.5703125" style="101" customWidth="1"/>
    <col min="41" max="16384" width="10.5703125" style="101"/>
  </cols>
  <sheetData>
    <row r="1" spans="1:33" ht="16.5" customHeight="1">
      <c r="A1" s="101" t="s">
        <v>2040</v>
      </c>
      <c r="B1" s="101">
        <v>1</v>
      </c>
      <c r="C1" s="101" t="s">
        <v>332</v>
      </c>
      <c r="D1" s="523">
        <f>'Cover Page'!K4</f>
        <v>2020</v>
      </c>
      <c r="E1" s="101" t="s">
        <v>2031</v>
      </c>
      <c r="F1" s="101" t="s">
        <v>2157</v>
      </c>
      <c r="H1" s="508">
        <v>42073</v>
      </c>
      <c r="J1" s="722"/>
      <c r="K1" s="722"/>
      <c r="L1" s="722"/>
      <c r="M1" s="722"/>
      <c r="N1" s="722"/>
      <c r="O1" s="722"/>
      <c r="P1" s="385"/>
      <c r="Q1" s="722" t="s">
        <v>0</v>
      </c>
      <c r="R1" s="722"/>
      <c r="S1" s="722"/>
      <c r="T1" s="722"/>
      <c r="U1" s="722"/>
      <c r="V1" s="722"/>
      <c r="W1" s="722"/>
      <c r="X1" s="722"/>
      <c r="Y1" s="722"/>
      <c r="Z1" s="722"/>
      <c r="AA1" s="722"/>
      <c r="AB1" s="722"/>
    </row>
    <row r="2" spans="1:33" ht="18.75">
      <c r="A2" s="101" t="s">
        <v>2040</v>
      </c>
      <c r="B2" s="101">
        <v>2</v>
      </c>
      <c r="C2" s="101" t="s">
        <v>332</v>
      </c>
      <c r="D2" s="523">
        <f>'Cover Page'!K4</f>
        <v>2020</v>
      </c>
      <c r="E2" s="101" t="s">
        <v>2031</v>
      </c>
      <c r="F2" s="101" t="s">
        <v>2157</v>
      </c>
      <c r="G2" s="101" t="s">
        <v>121</v>
      </c>
      <c r="H2" s="508">
        <v>42073</v>
      </c>
      <c r="J2" s="723"/>
      <c r="K2" s="723"/>
      <c r="L2" s="723"/>
      <c r="M2" s="723"/>
      <c r="N2" s="723"/>
      <c r="O2" s="723"/>
      <c r="P2" s="385"/>
      <c r="Q2" s="723" t="s">
        <v>2286</v>
      </c>
      <c r="R2" s="723"/>
      <c r="S2" s="723"/>
      <c r="T2" s="723"/>
      <c r="U2" s="723"/>
      <c r="V2" s="723"/>
      <c r="W2" s="723"/>
      <c r="X2" s="723"/>
      <c r="Y2" s="723"/>
      <c r="Z2" s="723"/>
      <c r="AA2" s="723"/>
      <c r="AB2" s="723"/>
    </row>
    <row r="3" spans="1:33">
      <c r="A3" s="101" t="s">
        <v>2040</v>
      </c>
      <c r="B3" s="101">
        <v>3</v>
      </c>
      <c r="C3" s="101" t="s">
        <v>332</v>
      </c>
      <c r="D3" s="523">
        <f>'Cover Page'!K4</f>
        <v>2020</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2020</v>
      </c>
      <c r="E4" s="101" t="s">
        <v>2031</v>
      </c>
      <c r="F4" s="101" t="s">
        <v>2157</v>
      </c>
      <c r="G4" s="101" t="s">
        <v>121</v>
      </c>
      <c r="H4" s="508">
        <v>42073</v>
      </c>
      <c r="J4" s="363"/>
      <c r="K4" s="724" t="s">
        <v>126</v>
      </c>
      <c r="L4" s="719"/>
      <c r="M4" s="719"/>
      <c r="N4" s="719"/>
      <c r="O4" s="725"/>
      <c r="P4" s="385"/>
      <c r="Q4" s="719" t="s">
        <v>126</v>
      </c>
      <c r="R4" s="719"/>
      <c r="S4" s="719"/>
      <c r="T4" s="719"/>
      <c r="U4" s="725"/>
      <c r="V4" s="391"/>
      <c r="W4" s="724" t="s">
        <v>126</v>
      </c>
      <c r="X4" s="719"/>
      <c r="Y4" s="719"/>
      <c r="Z4" s="719"/>
      <c r="AA4" s="725"/>
      <c r="AB4" s="391"/>
      <c r="AC4" s="724" t="s">
        <v>126</v>
      </c>
      <c r="AD4" s="719"/>
      <c r="AE4" s="719"/>
      <c r="AF4" s="719"/>
      <c r="AG4" s="725"/>
    </row>
    <row r="5" spans="1:33" ht="12.75" customHeight="1">
      <c r="A5" s="101" t="s">
        <v>2040</v>
      </c>
      <c r="B5" s="101">
        <v>5</v>
      </c>
      <c r="C5" s="101" t="s">
        <v>332</v>
      </c>
      <c r="D5" s="523">
        <f>'Cover Page'!K4</f>
        <v>2020</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2020</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2020</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2020</v>
      </c>
      <c r="E8" s="101" t="s">
        <v>2031</v>
      </c>
      <c r="F8" s="101" t="s">
        <v>2157</v>
      </c>
      <c r="H8" s="505">
        <f>'Cover Page'!M38</f>
        <v>0</v>
      </c>
      <c r="J8" s="364"/>
      <c r="K8" s="91" t="s">
        <v>134</v>
      </c>
      <c r="L8" s="108" t="s">
        <v>135</v>
      </c>
      <c r="M8" s="108" t="s">
        <v>136</v>
      </c>
      <c r="N8" s="93" t="s">
        <v>96</v>
      </c>
      <c r="O8" s="109" t="str">
        <f>'Cover Page'!K4-1&amp;" Total Tax Rate"</f>
        <v>2019 Total Tax Rate</v>
      </c>
      <c r="P8" s="386"/>
      <c r="Q8" s="92" t="s">
        <v>134</v>
      </c>
      <c r="R8" s="108" t="s">
        <v>135</v>
      </c>
      <c r="S8" s="108" t="s">
        <v>136</v>
      </c>
      <c r="T8" s="93" t="s">
        <v>96</v>
      </c>
      <c r="U8" s="559" t="str">
        <f>'Cover Page'!K4-1&amp;" Total Tax Rate"</f>
        <v>2019 Total Tax Rate</v>
      </c>
      <c r="V8" s="393"/>
      <c r="W8" s="91" t="s">
        <v>134</v>
      </c>
      <c r="X8" s="108" t="s">
        <v>135</v>
      </c>
      <c r="Y8" s="108" t="s">
        <v>136</v>
      </c>
      <c r="Z8" s="93" t="s">
        <v>96</v>
      </c>
      <c r="AA8" s="109" t="str">
        <f>'Cover Page'!K4-1&amp;" Total Tax Rate"</f>
        <v>2019 Total Tax Rate</v>
      </c>
      <c r="AB8" s="393"/>
      <c r="AC8" s="91" t="s">
        <v>134</v>
      </c>
      <c r="AD8" s="108" t="s">
        <v>135</v>
      </c>
      <c r="AE8" s="108" t="s">
        <v>136</v>
      </c>
      <c r="AF8" s="93" t="s">
        <v>96</v>
      </c>
      <c r="AG8" s="109" t="str">
        <f>'Cover Page'!K4-1&amp;" Total Tax Rate"</f>
        <v>2019 Total Tax Rate</v>
      </c>
    </row>
    <row r="9" spans="1:33" s="99" customFormat="1">
      <c r="A9" s="99" t="s">
        <v>2040</v>
      </c>
      <c r="B9" s="99">
        <v>9</v>
      </c>
      <c r="C9" s="99" t="s">
        <v>332</v>
      </c>
      <c r="D9" s="523">
        <f>'Cover Page'!K4</f>
        <v>2020</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2020</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2020</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2020</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2020</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2020</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15" customHeight="1">
      <c r="A15" s="99" t="s">
        <v>2040</v>
      </c>
      <c r="B15" s="99">
        <v>15</v>
      </c>
      <c r="C15" s="99" t="s">
        <v>332</v>
      </c>
      <c r="D15" s="523">
        <f>'Cover Page'!K4</f>
        <v>2020</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2020</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2020</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2020</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2020</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2020</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2020</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2020</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2020</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2020</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2020</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2020</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2020</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2020</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2020</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2020</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15" customHeight="1">
      <c r="A31" s="99" t="s">
        <v>2040</v>
      </c>
      <c r="B31" s="99">
        <v>31</v>
      </c>
      <c r="C31" s="99" t="s">
        <v>332</v>
      </c>
      <c r="D31" s="523">
        <f>'Cover Page'!K4</f>
        <v>2020</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15" customHeight="1">
      <c r="A32" s="99" t="s">
        <v>2040</v>
      </c>
      <c r="B32" s="99">
        <v>32</v>
      </c>
      <c r="C32" s="99" t="s">
        <v>332</v>
      </c>
      <c r="D32" s="523">
        <f>'Cover Page'!K4</f>
        <v>2020</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15" customHeight="1">
      <c r="A33" s="99" t="s">
        <v>2040</v>
      </c>
      <c r="B33" s="99">
        <v>33</v>
      </c>
      <c r="C33" s="99" t="s">
        <v>332</v>
      </c>
      <c r="D33" s="523">
        <f>'Cover Page'!K4</f>
        <v>2020</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15" customHeight="1">
      <c r="A34" s="99" t="s">
        <v>2040</v>
      </c>
      <c r="B34" s="99">
        <v>34</v>
      </c>
      <c r="C34" s="99" t="s">
        <v>332</v>
      </c>
      <c r="D34" s="523">
        <f>'Cover Page'!K4</f>
        <v>2020</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15" customHeight="1">
      <c r="A35" s="99" t="s">
        <v>2040</v>
      </c>
      <c r="B35" s="99">
        <v>35</v>
      </c>
      <c r="C35" s="99" t="s">
        <v>332</v>
      </c>
      <c r="D35" s="523">
        <f>'Cover Page'!K4</f>
        <v>2020</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15" customHeight="1" thickBot="1">
      <c r="A36" s="99" t="s">
        <v>2040</v>
      </c>
      <c r="B36" s="99">
        <v>36</v>
      </c>
      <c r="C36" s="99" t="s">
        <v>332</v>
      </c>
      <c r="D36" s="523">
        <f>'Cover Page'!K4</f>
        <v>2020</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15" customHeight="1" thickTop="1" thickBot="1">
      <c r="A37" s="99" t="s">
        <v>2040</v>
      </c>
      <c r="B37" s="99">
        <v>37</v>
      </c>
      <c r="C37" s="99" t="s">
        <v>332</v>
      </c>
      <c r="D37" s="523">
        <f>'Cover Page'!K4</f>
        <v>2020</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7.25" thickTop="1" thickBot="1">
      <c r="A38" s="101" t="s">
        <v>2040</v>
      </c>
      <c r="B38" s="101">
        <v>38</v>
      </c>
      <c r="C38" s="101" t="s">
        <v>332</v>
      </c>
      <c r="D38" s="523">
        <f>'Cover Page'!K4</f>
        <v>2020</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75" thickTop="1">
      <c r="J39" s="726"/>
      <c r="K39" s="726"/>
      <c r="L39" s="726"/>
      <c r="M39" s="726"/>
      <c r="N39" s="726"/>
      <c r="O39" s="726"/>
      <c r="U39" s="727" t="s">
        <v>2276</v>
      </c>
      <c r="V39" s="728"/>
      <c r="W39" s="728"/>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39"/>
  <sheetViews>
    <sheetView topLeftCell="J1" workbookViewId="0">
      <selection activeCell="O14" sqref="O14:P14"/>
    </sheetView>
  </sheetViews>
  <sheetFormatPr defaultColWidth="10.5703125" defaultRowHeight="12.75"/>
  <cols>
    <col min="1" max="9" width="10.5703125" style="125" hidden="1" customWidth="1"/>
    <col min="10" max="10" width="44.42578125" style="125" customWidth="1"/>
    <col min="11" max="11" width="2.42578125" style="125" customWidth="1"/>
    <col min="12" max="12" width="9" style="125" customWidth="1"/>
    <col min="13" max="13" width="8.85546875" style="125" customWidth="1"/>
    <col min="14" max="14" width="14.28515625" style="125" customWidth="1"/>
    <col min="15" max="15" width="15" style="125" customWidth="1"/>
    <col min="16" max="16" width="15.5703125" style="125" customWidth="1"/>
    <col min="17" max="19" width="16.85546875" style="125" customWidth="1"/>
    <col min="20" max="16384" width="10.5703125" style="125"/>
  </cols>
  <sheetData>
    <row r="1" spans="1:19" ht="18.75">
      <c r="A1" s="491" t="str">
        <f ca="1">MID(CELL("filename",A2),FIND("]",CELL("filename",A2))+1,256)</f>
        <v>UFB-7 Personnel Costs</v>
      </c>
      <c r="B1" s="491">
        <f>ROW()</f>
        <v>1</v>
      </c>
      <c r="C1" s="491" t="str">
        <f>'Cover Page'!K6</f>
        <v>0421</v>
      </c>
      <c r="D1" s="491">
        <f>'Cover Page'!K4</f>
        <v>2020</v>
      </c>
      <c r="E1" s="491" t="s">
        <v>2031</v>
      </c>
      <c r="F1" s="491" t="s">
        <v>2161</v>
      </c>
      <c r="G1" s="491"/>
      <c r="H1" s="505">
        <f>'Cover Page'!M38</f>
        <v>0</v>
      </c>
      <c r="J1" s="685" t="s">
        <v>0</v>
      </c>
      <c r="K1" s="685"/>
      <c r="L1" s="685"/>
      <c r="M1" s="685"/>
      <c r="N1" s="685"/>
      <c r="O1" s="685"/>
      <c r="P1" s="685"/>
      <c r="Q1" s="685"/>
      <c r="R1" s="685"/>
      <c r="S1" s="685"/>
    </row>
    <row r="2" spans="1:19" ht="18.75">
      <c r="A2" s="491" t="str">
        <f ca="1">MID(CELL("filename",A2),FIND("]",CELL("filename",A2))+1,256)</f>
        <v>UFB-7 Personnel Costs</v>
      </c>
      <c r="B2" s="491">
        <f>ROW()</f>
        <v>2</v>
      </c>
      <c r="C2" s="491" t="str">
        <f>'Cover Page'!K6</f>
        <v>0421</v>
      </c>
      <c r="D2" s="491">
        <f>'Cover Page'!K4</f>
        <v>2020</v>
      </c>
      <c r="E2" s="491" t="s">
        <v>2031</v>
      </c>
      <c r="F2" s="491" t="s">
        <v>2161</v>
      </c>
      <c r="G2" s="491" t="s">
        <v>121</v>
      </c>
      <c r="H2" s="505">
        <f>'Cover Page'!M38</f>
        <v>0</v>
      </c>
      <c r="J2" s="729" t="s">
        <v>152</v>
      </c>
      <c r="K2" s="729"/>
      <c r="L2" s="729"/>
      <c r="M2" s="729"/>
      <c r="N2" s="729"/>
      <c r="O2" s="729"/>
      <c r="P2" s="729"/>
      <c r="Q2" s="729"/>
      <c r="R2" s="729"/>
      <c r="S2" s="729"/>
    </row>
    <row r="3" spans="1:19" ht="12.75" customHeight="1">
      <c r="A3" s="491" t="str">
        <f t="shared" ref="A3:A19" ca="1" si="0">MID(CELL("filename",A3),FIND("]",CELL("filename",A3))+1,256)</f>
        <v>UFB-7 Personnel Costs</v>
      </c>
      <c r="B3" s="491">
        <f>ROW()</f>
        <v>3</v>
      </c>
      <c r="C3" s="491" t="str">
        <f>'Cover Page'!K6</f>
        <v>0421</v>
      </c>
      <c r="D3" s="491">
        <f>'Cover Page'!K4</f>
        <v>2020</v>
      </c>
      <c r="E3" s="491" t="s">
        <v>2031</v>
      </c>
      <c r="F3" s="491" t="s">
        <v>2161</v>
      </c>
      <c r="G3" s="491" t="s">
        <v>121</v>
      </c>
      <c r="H3" s="505">
        <f>'Cover Page'!M38</f>
        <v>0</v>
      </c>
      <c r="J3" s="126"/>
      <c r="K3" s="127"/>
      <c r="L3" s="369"/>
      <c r="M3" s="370"/>
      <c r="N3" s="128"/>
      <c r="O3" s="129"/>
      <c r="P3" s="130"/>
      <c r="Q3" s="126"/>
      <c r="R3" s="126"/>
      <c r="S3" s="131"/>
    </row>
    <row r="4" spans="1:19" ht="15">
      <c r="A4" s="491" t="str">
        <f t="shared" ca="1" si="0"/>
        <v>UFB-7 Personnel Costs</v>
      </c>
      <c r="B4" s="491">
        <f>ROW()</f>
        <v>4</v>
      </c>
      <c r="C4" s="491" t="str">
        <f>'Cover Page'!K6</f>
        <v>0421</v>
      </c>
      <c r="D4" s="491">
        <f>'Cover Page'!K4</f>
        <v>2020</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5">
      <c r="A5" s="491" t="str">
        <f t="shared" ca="1" si="0"/>
        <v>UFB-7 Personnel Costs</v>
      </c>
      <c r="B5" s="491">
        <f>ROW()</f>
        <v>5</v>
      </c>
      <c r="C5" s="491" t="str">
        <f>'Cover Page'!K6</f>
        <v>0421</v>
      </c>
      <c r="D5" s="491">
        <f>'Cover Page'!K4</f>
        <v>2020</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5">
      <c r="A6" s="491" t="str">
        <f t="shared" ca="1" si="0"/>
        <v>UFB-7 Personnel Costs</v>
      </c>
      <c r="B6" s="491">
        <f>ROW()</f>
        <v>6</v>
      </c>
      <c r="C6" s="491" t="str">
        <f>'Cover Page'!K6</f>
        <v>0421</v>
      </c>
      <c r="D6" s="491">
        <f>'Cover Page'!K4</f>
        <v>2020</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5" thickBot="1">
      <c r="A7" s="491" t="str">
        <f t="shared" ca="1" si="0"/>
        <v>UFB-7 Personnel Costs</v>
      </c>
      <c r="B7" s="491">
        <f>ROW()</f>
        <v>7</v>
      </c>
      <c r="C7" s="491" t="str">
        <f>'Cover Page'!K6</f>
        <v>0421</v>
      </c>
      <c r="D7" s="491">
        <f>'Cover Page'!K4</f>
        <v>2020</v>
      </c>
      <c r="E7" s="491" t="s">
        <v>2031</v>
      </c>
      <c r="F7" s="491" t="s">
        <v>2161</v>
      </c>
      <c r="G7" s="491"/>
      <c r="H7" s="505">
        <f>'Cover Page'!M38</f>
        <v>0</v>
      </c>
      <c r="J7" s="139"/>
      <c r="K7" s="140"/>
      <c r="L7" s="372"/>
      <c r="M7" s="373"/>
      <c r="N7" s="141"/>
      <c r="O7" s="142"/>
      <c r="P7" s="143"/>
      <c r="Q7" s="144"/>
      <c r="R7" s="144"/>
      <c r="S7" s="145"/>
    </row>
    <row r="8" spans="1:19" ht="15.75" thickTop="1">
      <c r="A8" s="491" t="str">
        <f t="shared" ca="1" si="0"/>
        <v>UFB-7 Personnel Costs</v>
      </c>
      <c r="B8" s="491">
        <f>ROW()</f>
        <v>8</v>
      </c>
      <c r="C8" s="491" t="str">
        <f>'Cover Page'!K6</f>
        <v>0421</v>
      </c>
      <c r="D8" s="491">
        <f>'Cover Page'!K4</f>
        <v>2020</v>
      </c>
      <c r="E8" s="491" t="s">
        <v>2031</v>
      </c>
      <c r="F8" s="491" t="s">
        <v>2161</v>
      </c>
      <c r="G8" s="491" t="s">
        <v>2162</v>
      </c>
      <c r="H8" s="505">
        <f>'Cover Page'!M38</f>
        <v>0</v>
      </c>
      <c r="J8" s="146" t="s">
        <v>169</v>
      </c>
      <c r="K8" s="147"/>
      <c r="L8" s="601"/>
      <c r="M8" s="602">
        <v>7</v>
      </c>
      <c r="N8" s="405">
        <f>SUM(O8:S8)</f>
        <v>57420</v>
      </c>
      <c r="O8" s="616">
        <v>52200</v>
      </c>
      <c r="P8" s="617"/>
      <c r="Q8" s="618"/>
      <c r="R8" s="618"/>
      <c r="S8" s="619">
        <f t="shared" ref="S8:S9" si="1">SUM(O8+P8)*0.1</f>
        <v>5220</v>
      </c>
    </row>
    <row r="9" spans="1:19" ht="15">
      <c r="A9" s="491" t="str">
        <f t="shared" ca="1" si="0"/>
        <v>UFB-7 Personnel Costs</v>
      </c>
      <c r="B9" s="491">
        <f>ROW()</f>
        <v>9</v>
      </c>
      <c r="C9" s="491" t="str">
        <f>'Cover Page'!K6</f>
        <v>0421</v>
      </c>
      <c r="D9" s="491">
        <f>'Cover Page'!K4</f>
        <v>2020</v>
      </c>
      <c r="E9" s="491" t="s">
        <v>2031</v>
      </c>
      <c r="F9" s="491" t="s">
        <v>2161</v>
      </c>
      <c r="G9" s="491" t="s">
        <v>2163</v>
      </c>
      <c r="H9" s="505">
        <f>'Cover Page'!M38</f>
        <v>0</v>
      </c>
      <c r="J9" s="146" t="s">
        <v>170</v>
      </c>
      <c r="K9" s="147"/>
      <c r="L9" s="603">
        <v>4</v>
      </c>
      <c r="M9" s="602"/>
      <c r="N9" s="405">
        <f t="shared" ref="N9:N13" si="2">SUM(O9:S9)</f>
        <v>155286.024</v>
      </c>
      <c r="O9" s="616">
        <f>116594*1.02+7322.92</f>
        <v>126248.8</v>
      </c>
      <c r="P9" s="620"/>
      <c r="Q9" s="621">
        <f>O9*0.13</f>
        <v>16412.344000000001</v>
      </c>
      <c r="R9" s="618"/>
      <c r="S9" s="619">
        <f t="shared" si="1"/>
        <v>12624.880000000001</v>
      </c>
    </row>
    <row r="10" spans="1:19" ht="15">
      <c r="A10" s="491" t="str">
        <f ca="1">MID(CELL("filename",A10),FIND("]",CELL("filename",A10))+1,256)</f>
        <v>UFB-7 Personnel Costs</v>
      </c>
      <c r="B10" s="491">
        <f>ROW()</f>
        <v>10</v>
      </c>
      <c r="C10" s="491" t="str">
        <f>'Cover Page'!K6</f>
        <v>0421</v>
      </c>
      <c r="D10" s="491">
        <f>'Cover Page'!K4</f>
        <v>2020</v>
      </c>
      <c r="E10" s="491" t="s">
        <v>2031</v>
      </c>
      <c r="F10" s="491" t="s">
        <v>2161</v>
      </c>
      <c r="G10" s="491" t="s">
        <v>2164</v>
      </c>
      <c r="H10" s="505">
        <f>'Cover Page'!M38</f>
        <v>0</v>
      </c>
      <c r="J10" s="146" t="s">
        <v>171</v>
      </c>
      <c r="K10" s="147"/>
      <c r="L10" s="603">
        <v>6</v>
      </c>
      <c r="M10" s="602"/>
      <c r="N10" s="405">
        <f t="shared" si="2"/>
        <v>938350</v>
      </c>
      <c r="O10" s="616">
        <v>600000</v>
      </c>
      <c r="P10" s="620">
        <v>50000</v>
      </c>
      <c r="Q10" s="621">
        <f>O10*0.13</f>
        <v>78000</v>
      </c>
      <c r="R10" s="618">
        <f>142500*1.02</f>
        <v>145350</v>
      </c>
      <c r="S10" s="619">
        <f>SUM(O10+P10)*0.1</f>
        <v>65000</v>
      </c>
    </row>
    <row r="11" spans="1:19" ht="15">
      <c r="A11" s="491" t="str">
        <f ca="1">MID(CELL("filename",A11),FIND("]",CELL("filename",A11))+1,256)</f>
        <v>UFB-7 Personnel Costs</v>
      </c>
      <c r="B11" s="491">
        <f>ROW()</f>
        <v>11</v>
      </c>
      <c r="C11" s="491" t="str">
        <f>'Cover Page'!K6</f>
        <v>0421</v>
      </c>
      <c r="D11" s="491">
        <f>'Cover Page'!K4</f>
        <v>2020</v>
      </c>
      <c r="E11" s="491" t="s">
        <v>2031</v>
      </c>
      <c r="F11" s="491" t="s">
        <v>2161</v>
      </c>
      <c r="G11" s="491" t="s">
        <v>2165</v>
      </c>
      <c r="H11" s="505">
        <f>'Cover Page'!M38</f>
        <v>0</v>
      </c>
      <c r="J11" s="146" t="s">
        <v>172</v>
      </c>
      <c r="K11" s="147"/>
      <c r="L11" s="603"/>
      <c r="M11" s="602"/>
      <c r="N11" s="405">
        <f>SUM(O11:S11)</f>
        <v>0</v>
      </c>
      <c r="O11" s="616"/>
      <c r="P11" s="620"/>
      <c r="Q11" s="621">
        <f t="shared" ref="Q11:Q13" si="3">O11*0.13</f>
        <v>0</v>
      </c>
      <c r="R11" s="618"/>
      <c r="S11" s="619">
        <f t="shared" ref="S11:S13" si="4">SUM(O11+P11)*0.1</f>
        <v>0</v>
      </c>
    </row>
    <row r="12" spans="1:19" ht="15">
      <c r="A12" s="491" t="str">
        <f ca="1">MID(CELL("filename",A12),FIND("]",CELL("filename",A12))+1,256)</f>
        <v>UFB-7 Personnel Costs</v>
      </c>
      <c r="B12" s="491">
        <f>ROW()</f>
        <v>12</v>
      </c>
      <c r="C12" s="491" t="str">
        <f>'Cover Page'!K6</f>
        <v>0421</v>
      </c>
      <c r="D12" s="491">
        <f>'Cover Page'!K4</f>
        <v>2020</v>
      </c>
      <c r="E12" s="491" t="s">
        <v>2031</v>
      </c>
      <c r="F12" s="491" t="s">
        <v>2161</v>
      </c>
      <c r="G12" s="491" t="s">
        <v>2166</v>
      </c>
      <c r="H12" s="505">
        <f>'Cover Page'!M38</f>
        <v>0</v>
      </c>
      <c r="J12" s="146" t="s">
        <v>173</v>
      </c>
      <c r="K12" s="147"/>
      <c r="L12" s="603">
        <v>9</v>
      </c>
      <c r="M12" s="602"/>
      <c r="N12" s="405">
        <f t="shared" si="2"/>
        <v>757143.17599999998</v>
      </c>
      <c r="O12" s="616">
        <f>436560*1.02+134500</f>
        <v>579791.19999999995</v>
      </c>
      <c r="P12" s="620">
        <v>40000</v>
      </c>
      <c r="Q12" s="621">
        <f t="shared" si="3"/>
        <v>75372.856</v>
      </c>
      <c r="R12" s="618"/>
      <c r="S12" s="619">
        <f t="shared" si="4"/>
        <v>61979.119999999995</v>
      </c>
    </row>
    <row r="13" spans="1:19" ht="15.75" thickBot="1">
      <c r="A13" s="491" t="str">
        <f ca="1">MID(CELL("filename",A13),FIND("]",CELL("filename",A13))+1,256)</f>
        <v>UFB-7 Personnel Costs</v>
      </c>
      <c r="B13" s="491">
        <f>ROW()</f>
        <v>13</v>
      </c>
      <c r="C13" s="491" t="str">
        <f>'Cover Page'!K6</f>
        <v>0421</v>
      </c>
      <c r="D13" s="491">
        <f>'Cover Page'!K4</f>
        <v>2020</v>
      </c>
      <c r="E13" s="491" t="s">
        <v>2031</v>
      </c>
      <c r="F13" s="491" t="s">
        <v>2161</v>
      </c>
      <c r="G13" s="491" t="s">
        <v>2167</v>
      </c>
      <c r="H13" s="505">
        <f>'Cover Page'!M38</f>
        <v>0</v>
      </c>
      <c r="J13" s="146" t="s">
        <v>174</v>
      </c>
      <c r="K13" s="148"/>
      <c r="L13" s="603">
        <v>7</v>
      </c>
      <c r="M13" s="602"/>
      <c r="N13" s="405">
        <f t="shared" si="2"/>
        <v>110404.8</v>
      </c>
      <c r="O13" s="616">
        <f>88000*1.02</f>
        <v>89760</v>
      </c>
      <c r="P13" s="620"/>
      <c r="Q13" s="621">
        <f t="shared" si="3"/>
        <v>11668.800000000001</v>
      </c>
      <c r="R13" s="618"/>
      <c r="S13" s="619">
        <f t="shared" si="4"/>
        <v>8976</v>
      </c>
    </row>
    <row r="14" spans="1:19" ht="17.25" thickTop="1" thickBot="1">
      <c r="A14" s="491" t="str">
        <f t="shared" ca="1" si="0"/>
        <v>UFB-7 Personnel Costs</v>
      </c>
      <c r="B14" s="491">
        <f>ROW()</f>
        <v>14</v>
      </c>
      <c r="C14" s="491" t="str">
        <f>'Cover Page'!K6</f>
        <v>0421</v>
      </c>
      <c r="D14" s="491">
        <f>'Cover Page'!K4</f>
        <v>2020</v>
      </c>
      <c r="E14" s="491" t="s">
        <v>2031</v>
      </c>
      <c r="F14" s="491" t="s">
        <v>2161</v>
      </c>
      <c r="G14" s="491" t="s">
        <v>2168</v>
      </c>
      <c r="H14" s="505">
        <f>'Cover Page'!M38</f>
        <v>0</v>
      </c>
      <c r="J14" s="149" t="s">
        <v>175</v>
      </c>
      <c r="K14" s="151"/>
      <c r="L14" s="604">
        <f t="shared" ref="L14:S14" si="5">SUM(L8:L13)</f>
        <v>26</v>
      </c>
      <c r="M14" s="604">
        <f t="shared" si="5"/>
        <v>7</v>
      </c>
      <c r="N14" s="150">
        <f t="shared" si="5"/>
        <v>2018604</v>
      </c>
      <c r="O14" s="622">
        <f t="shared" si="5"/>
        <v>1448000</v>
      </c>
      <c r="P14" s="623">
        <f t="shared" si="5"/>
        <v>90000</v>
      </c>
      <c r="Q14" s="623">
        <f t="shared" si="5"/>
        <v>181454</v>
      </c>
      <c r="R14" s="623">
        <f t="shared" si="5"/>
        <v>145350</v>
      </c>
      <c r="S14" s="623">
        <f t="shared" si="5"/>
        <v>153800</v>
      </c>
    </row>
    <row r="15" spans="1:19" ht="16.5" thickTop="1">
      <c r="A15" s="491" t="str">
        <f t="shared" ca="1" si="0"/>
        <v>UFB-7 Personnel Costs</v>
      </c>
      <c r="B15" s="491">
        <f>ROW()</f>
        <v>15</v>
      </c>
      <c r="C15" s="491" t="str">
        <f>'Cover Page'!K6</f>
        <v>0421</v>
      </c>
      <c r="D15" s="491">
        <f>'Cover Page'!K4</f>
        <v>2020</v>
      </c>
      <c r="E15" s="491" t="s">
        <v>2031</v>
      </c>
      <c r="F15" s="491" t="s">
        <v>2161</v>
      </c>
      <c r="G15" s="491" t="s">
        <v>121</v>
      </c>
      <c r="H15" s="505">
        <f>'Cover Page'!M38</f>
        <v>0</v>
      </c>
      <c r="J15" s="43"/>
      <c r="K15" s="152"/>
      <c r="L15" s="152"/>
      <c r="M15" s="152"/>
      <c r="N15" s="152"/>
      <c r="O15" s="152"/>
      <c r="P15" s="152"/>
      <c r="Q15" s="152"/>
      <c r="R15" s="152"/>
      <c r="S15" s="152"/>
    </row>
    <row r="16" spans="1:19" ht="22.5">
      <c r="A16" s="491" t="str">
        <f t="shared" ca="1" si="0"/>
        <v>UFB-7 Personnel Costs</v>
      </c>
      <c r="B16" s="491">
        <f>ROW()</f>
        <v>16</v>
      </c>
      <c r="C16" s="491" t="str">
        <f>'Cover Page'!K6</f>
        <v>0421</v>
      </c>
      <c r="D16" s="491">
        <f>'Cover Page'!K4</f>
        <v>2020</v>
      </c>
      <c r="E16" s="491" t="s">
        <v>2031</v>
      </c>
      <c r="F16" s="491" t="s">
        <v>2161</v>
      </c>
      <c r="G16" s="491" t="s">
        <v>2169</v>
      </c>
      <c r="H16" s="505">
        <f>'Cover Page'!M38</f>
        <v>0</v>
      </c>
      <c r="J16" s="153" t="s">
        <v>257</v>
      </c>
      <c r="K16" s="152"/>
      <c r="L16" s="152"/>
      <c r="M16" s="152"/>
      <c r="N16" s="152"/>
      <c r="Q16" s="270" t="s">
        <v>290</v>
      </c>
      <c r="S16" s="152"/>
    </row>
    <row r="17" spans="1:19" ht="15.75">
      <c r="A17" s="491" t="str">
        <f t="shared" ca="1" si="0"/>
        <v>UFB-7 Personnel Costs</v>
      </c>
      <c r="B17" s="491">
        <f>ROW()</f>
        <v>17</v>
      </c>
      <c r="C17" s="491" t="str">
        <f>'Cover Page'!K6</f>
        <v>0421</v>
      </c>
      <c r="D17" s="491">
        <f>'Cover Page'!K4</f>
        <v>2020</v>
      </c>
      <c r="E17" s="491" t="s">
        <v>2031</v>
      </c>
      <c r="F17" s="491" t="s">
        <v>2161</v>
      </c>
      <c r="G17" s="491" t="s">
        <v>121</v>
      </c>
      <c r="H17" s="505">
        <f>'Cover Page'!M38</f>
        <v>0</v>
      </c>
      <c r="J17" s="43"/>
      <c r="K17" s="152"/>
      <c r="L17" s="152"/>
      <c r="M17" s="152"/>
      <c r="N17" s="152"/>
      <c r="O17" s="152"/>
      <c r="P17" s="152"/>
      <c r="Q17" s="152"/>
      <c r="R17" s="152"/>
      <c r="S17" s="152"/>
    </row>
    <row r="18" spans="1:19" ht="15.75">
      <c r="A18" s="491" t="str">
        <f t="shared" ca="1" si="0"/>
        <v>UFB-7 Personnel Costs</v>
      </c>
      <c r="B18" s="491">
        <f>ROW()</f>
        <v>18</v>
      </c>
      <c r="C18" s="491" t="str">
        <f>'Cover Page'!K6</f>
        <v>0421</v>
      </c>
      <c r="D18" s="491">
        <f>'Cover Page'!K4</f>
        <v>2020</v>
      </c>
      <c r="E18" s="491" t="s">
        <v>2031</v>
      </c>
      <c r="F18" s="491" t="s">
        <v>2161</v>
      </c>
      <c r="G18" s="491" t="s">
        <v>121</v>
      </c>
      <c r="H18" s="505">
        <f>'Cover Page'!M38</f>
        <v>0</v>
      </c>
      <c r="J18" s="43" t="s">
        <v>176</v>
      </c>
      <c r="K18" s="152"/>
      <c r="L18" s="152"/>
      <c r="M18" s="152"/>
      <c r="N18" s="152"/>
      <c r="O18" s="152"/>
      <c r="P18" s="152"/>
      <c r="Q18" s="152"/>
      <c r="R18" s="152"/>
      <c r="S18" s="152"/>
    </row>
    <row r="19" spans="1:19" ht="15.75">
      <c r="A19" s="491" t="str">
        <f t="shared" ca="1" si="0"/>
        <v>UFB-7 Personnel Costs</v>
      </c>
      <c r="B19" s="491">
        <f>ROW()</f>
        <v>19</v>
      </c>
      <c r="C19" s="491" t="str">
        <f>'Cover Page'!K6</f>
        <v>0421</v>
      </c>
      <c r="D19" s="491">
        <f>'Cover Page'!K4</f>
        <v>2020</v>
      </c>
      <c r="E19" s="491" t="s">
        <v>2031</v>
      </c>
      <c r="F19" s="491" t="s">
        <v>2161</v>
      </c>
      <c r="G19" s="491" t="s">
        <v>121</v>
      </c>
      <c r="H19" s="505">
        <f>'Cover Page'!M38</f>
        <v>0</v>
      </c>
      <c r="J19" s="43" t="s">
        <v>177</v>
      </c>
      <c r="K19" s="152"/>
      <c r="L19" s="152"/>
      <c r="M19" s="152"/>
      <c r="N19" s="152"/>
      <c r="O19" s="152"/>
      <c r="P19" s="152"/>
      <c r="Q19" s="152"/>
      <c r="R19" s="152"/>
      <c r="S19" s="152"/>
    </row>
    <row r="20" spans="1:19" ht="15.75">
      <c r="A20" s="491"/>
      <c r="B20" s="491"/>
      <c r="C20" s="491"/>
      <c r="D20" s="491"/>
      <c r="E20" s="491"/>
      <c r="F20" s="491"/>
      <c r="G20" s="491"/>
      <c r="H20" s="494"/>
      <c r="J20" s="43"/>
      <c r="K20" s="152"/>
      <c r="L20" s="152"/>
      <c r="M20" s="152"/>
      <c r="N20" s="152"/>
      <c r="O20" s="152"/>
      <c r="P20" s="152"/>
      <c r="Q20" s="152"/>
      <c r="R20" s="152"/>
      <c r="S20" s="152"/>
    </row>
    <row r="21" spans="1:19" ht="15.75">
      <c r="A21" s="491"/>
      <c r="B21" s="491"/>
      <c r="C21" s="491"/>
      <c r="D21" s="491"/>
      <c r="E21" s="491"/>
      <c r="F21" s="491"/>
      <c r="G21" s="491"/>
      <c r="H21" s="494"/>
      <c r="J21" s="43"/>
      <c r="K21" s="152"/>
      <c r="L21" s="152"/>
      <c r="M21" s="152"/>
      <c r="N21" s="152"/>
      <c r="O21" s="152"/>
      <c r="P21" s="152"/>
      <c r="Q21" s="152"/>
      <c r="R21" s="152"/>
      <c r="S21" s="152"/>
    </row>
    <row r="22" spans="1:19" ht="15.75">
      <c r="A22" s="491"/>
      <c r="B22" s="491"/>
      <c r="C22" s="491"/>
      <c r="D22" s="491"/>
      <c r="E22" s="491"/>
      <c r="F22" s="491"/>
      <c r="G22" s="491"/>
      <c r="H22" s="494"/>
      <c r="J22" s="43"/>
      <c r="K22" s="152"/>
      <c r="L22" s="152"/>
      <c r="M22" s="152"/>
      <c r="N22" s="152"/>
      <c r="O22" s="152"/>
      <c r="P22" s="152"/>
      <c r="Q22" s="152"/>
      <c r="R22" s="152"/>
      <c r="S22" s="152"/>
    </row>
    <row r="23" spans="1:19" ht="15.75">
      <c r="A23" s="491"/>
      <c r="B23" s="491"/>
      <c r="C23" s="491"/>
      <c r="D23" s="491"/>
      <c r="E23" s="491"/>
      <c r="F23" s="491"/>
      <c r="G23" s="491"/>
      <c r="H23" s="494"/>
      <c r="J23" s="43"/>
      <c r="K23" s="152"/>
      <c r="L23" s="152"/>
      <c r="M23" s="152"/>
      <c r="N23" s="152"/>
      <c r="O23" s="152"/>
      <c r="P23" s="152"/>
      <c r="Q23" s="152"/>
      <c r="R23" s="152"/>
      <c r="S23" s="152"/>
    </row>
    <row r="24" spans="1:19" ht="15.75">
      <c r="A24" s="491"/>
      <c r="B24" s="491"/>
      <c r="C24" s="491"/>
      <c r="D24" s="491"/>
      <c r="E24" s="491"/>
      <c r="F24" s="491"/>
      <c r="G24" s="491"/>
      <c r="H24" s="494"/>
      <c r="J24" s="43"/>
      <c r="K24" s="152"/>
      <c r="L24" s="152"/>
      <c r="M24" s="152"/>
      <c r="N24" s="152"/>
      <c r="O24" s="152"/>
      <c r="P24" s="152"/>
      <c r="Q24" s="152"/>
      <c r="R24" s="152"/>
      <c r="S24" s="152"/>
    </row>
    <row r="25" spans="1:19" ht="15.75">
      <c r="A25" s="491"/>
      <c r="B25" s="491"/>
      <c r="C25" s="491"/>
      <c r="D25" s="491"/>
      <c r="E25" s="491"/>
      <c r="F25" s="491"/>
      <c r="G25" s="491"/>
      <c r="H25" s="494"/>
      <c r="J25" s="43"/>
      <c r="K25" s="152"/>
      <c r="L25" s="152"/>
      <c r="M25" s="152"/>
      <c r="N25" s="152"/>
      <c r="O25" s="152"/>
      <c r="P25" s="152"/>
      <c r="Q25" s="152"/>
      <c r="R25" s="152"/>
      <c r="S25" s="152"/>
    </row>
    <row r="26" spans="1:19" ht="15.75">
      <c r="A26" s="491"/>
      <c r="B26" s="491"/>
      <c r="C26" s="491"/>
      <c r="D26" s="491"/>
      <c r="E26" s="491"/>
      <c r="F26" s="491"/>
      <c r="G26" s="491"/>
      <c r="H26" s="494"/>
      <c r="J26" s="730" t="s">
        <v>178</v>
      </c>
      <c r="K26" s="730"/>
      <c r="L26" s="730"/>
      <c r="M26" s="730"/>
      <c r="N26" s="730"/>
      <c r="O26" s="730"/>
      <c r="P26" s="730"/>
      <c r="Q26" s="730"/>
      <c r="R26" s="730"/>
      <c r="S26" s="73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Nancy Fabiani</cp:lastModifiedBy>
  <cp:lastPrinted>2019-04-02T13:05:55Z</cp:lastPrinted>
  <dcterms:created xsi:type="dcterms:W3CDTF">2014-08-15T14:29:15Z</dcterms:created>
  <dcterms:modified xsi:type="dcterms:W3CDTF">2021-02-17T16:44:25Z</dcterms:modified>
</cp:coreProperties>
</file>